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D:\mendal\Personal\Taxes\2026\release\"/>
    </mc:Choice>
  </mc:AlternateContent>
  <xr:revisionPtr revIDLastSave="0" documentId="13_ncr:1_{58810995-B49F-4BAA-86A6-5D6DD640D256}" xr6:coauthVersionLast="47" xr6:coauthVersionMax="47" xr10:uidLastSave="{00000000-0000-0000-0000-000000000000}"/>
  <bookViews>
    <workbookView xWindow="-120" yWindow="-120" windowWidth="29040" windowHeight="15720" xr2:uid="{6C38FBBD-AC4D-4628-A94D-7DC596257C53}"/>
  </bookViews>
  <sheets>
    <sheet name="2026-Single" sheetId="12" r:id="rId1"/>
    <sheet name="2026-Joint" sheetId="25" r:id="rId2"/>
    <sheet name="2026-Separate" sheetId="27" r:id="rId3"/>
    <sheet name="2026-Head" sheetId="26" r:id="rId4"/>
  </sheets>
  <calcPr calcId="191029" iterate="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38" i="26" l="1"/>
  <c r="F38" i="27"/>
  <c r="F38" i="25"/>
  <c r="F38" i="12"/>
  <c r="B66" i="26"/>
  <c r="B67" i="26"/>
  <c r="B68" i="26"/>
  <c r="B69" i="26"/>
  <c r="B70" i="26"/>
  <c r="B66" i="27"/>
  <c r="B67" i="27"/>
  <c r="B68" i="27"/>
  <c r="B69" i="27"/>
  <c r="B70" i="27"/>
  <c r="B66" i="25"/>
  <c r="B67" i="25"/>
  <c r="B68" i="25"/>
  <c r="B69" i="25"/>
  <c r="B70" i="25"/>
  <c r="B66" i="12"/>
  <c r="B67" i="12"/>
  <c r="B68" i="12"/>
  <c r="B69" i="12"/>
  <c r="B70" i="12"/>
  <c r="B60" i="26"/>
  <c r="B60" i="27"/>
  <c r="B60" i="25"/>
  <c r="B60" i="12"/>
  <c r="B146" i="26"/>
  <c r="B146" i="27"/>
  <c r="B146" i="25"/>
  <c r="B146" i="12"/>
  <c r="B61" i="26"/>
  <c r="F35" i="26"/>
  <c r="F36" i="26"/>
  <c r="F37" i="26"/>
  <c r="B61" i="27"/>
  <c r="F35" i="27"/>
  <c r="F36" i="27"/>
  <c r="F37" i="27"/>
  <c r="B61" i="25"/>
  <c r="F35" i="25"/>
  <c r="F36" i="25"/>
  <c r="F37" i="25"/>
  <c r="B61" i="12"/>
  <c r="F35" i="12"/>
  <c r="F36" i="12"/>
  <c r="F37" i="12"/>
  <c r="B158" i="26"/>
  <c r="B135" i="26"/>
  <c r="B132" i="26"/>
  <c r="B129" i="26"/>
  <c r="B125" i="26"/>
  <c r="B124" i="26"/>
  <c r="B123" i="26"/>
  <c r="B117" i="26"/>
  <c r="B114" i="26"/>
  <c r="B158" i="27"/>
  <c r="B135" i="27"/>
  <c r="B132" i="27"/>
  <c r="B129" i="27"/>
  <c r="B125" i="27"/>
  <c r="B124" i="27"/>
  <c r="B123" i="27"/>
  <c r="B117" i="27"/>
  <c r="B114" i="27"/>
  <c r="B158" i="25"/>
  <c r="B135" i="25"/>
  <c r="B132" i="25"/>
  <c r="B129" i="25"/>
  <c r="B125" i="25"/>
  <c r="B124" i="25"/>
  <c r="B123" i="25"/>
  <c r="B117" i="25"/>
  <c r="B114" i="25"/>
  <c r="B158" i="12"/>
  <c r="B135" i="12"/>
  <c r="B132" i="12"/>
  <c r="B129" i="12"/>
  <c r="B125" i="12"/>
  <c r="B124" i="12"/>
  <c r="B123" i="12"/>
  <c r="B117" i="12"/>
  <c r="B114" i="12"/>
  <c r="F57" i="26"/>
  <c r="F58" i="26"/>
  <c r="F59" i="26"/>
  <c r="B42" i="26"/>
  <c r="B53" i="26"/>
  <c r="B48" i="26"/>
  <c r="B51" i="26"/>
  <c r="B57" i="26"/>
  <c r="B58" i="26"/>
  <c r="B59" i="26"/>
  <c r="N21" i="26"/>
  <c r="B65" i="26"/>
  <c r="F40" i="26"/>
  <c r="F41" i="26"/>
  <c r="F42" i="26"/>
  <c r="N24" i="26"/>
  <c r="F57" i="27"/>
  <c r="F58" i="27"/>
  <c r="F59" i="27"/>
  <c r="B42" i="27"/>
  <c r="B53" i="27"/>
  <c r="B48" i="27"/>
  <c r="B51" i="27"/>
  <c r="B57" i="27"/>
  <c r="B58" i="27"/>
  <c r="B59" i="27"/>
  <c r="N21" i="27"/>
  <c r="B65" i="27"/>
  <c r="F40" i="27"/>
  <c r="F41" i="27"/>
  <c r="F42" i="27"/>
  <c r="N24" i="27"/>
  <c r="F57" i="25"/>
  <c r="F58" i="25"/>
  <c r="F59" i="25"/>
  <c r="B42" i="25"/>
  <c r="B53" i="25"/>
  <c r="B48" i="25"/>
  <c r="B51" i="25"/>
  <c r="B57" i="25"/>
  <c r="B58" i="25"/>
  <c r="B59" i="25"/>
  <c r="N21" i="25"/>
  <c r="B65" i="25"/>
  <c r="F40" i="25"/>
  <c r="F41" i="25"/>
  <c r="F42" i="25"/>
  <c r="N24" i="25"/>
  <c r="F57" i="12"/>
  <c r="F58" i="12"/>
  <c r="F59" i="12"/>
  <c r="B42" i="12"/>
  <c r="B53" i="12"/>
  <c r="B48" i="12"/>
  <c r="B51" i="12"/>
  <c r="B57" i="12"/>
  <c r="B58" i="12"/>
  <c r="B59" i="12"/>
  <c r="N21" i="12"/>
  <c r="B65" i="12"/>
  <c r="F40" i="12"/>
  <c r="F41" i="12"/>
  <c r="F42" i="12"/>
  <c r="N24" i="12"/>
  <c r="F53" i="26"/>
  <c r="F53" i="27"/>
  <c r="F53" i="25"/>
  <c r="F53" i="12"/>
  <c r="F43" i="27"/>
  <c r="B38" i="27"/>
  <c r="B38" i="12"/>
  <c r="J46" i="27"/>
  <c r="B21" i="27"/>
  <c r="N46" i="27"/>
  <c r="B22" i="27"/>
  <c r="J62" i="27"/>
  <c r="B23" i="27"/>
  <c r="N62" i="27"/>
  <c r="B41" i="27"/>
  <c r="B52" i="27"/>
  <c r="J46" i="25"/>
  <c r="B21" i="25"/>
  <c r="N46" i="25"/>
  <c r="B22" i="25"/>
  <c r="J62" i="25"/>
  <c r="B23" i="25"/>
  <c r="B38" i="25"/>
  <c r="N62" i="25"/>
  <c r="B41" i="25"/>
  <c r="B52" i="25"/>
  <c r="F43" i="26"/>
  <c r="F43" i="12"/>
  <c r="F43" i="25"/>
  <c r="F46" i="26"/>
  <c r="F46" i="27"/>
  <c r="F46" i="25"/>
  <c r="F46" i="12"/>
  <c r="J46" i="12"/>
  <c r="B21" i="12"/>
  <c r="N46" i="12"/>
  <c r="B22" i="12"/>
  <c r="J62" i="12"/>
  <c r="B23" i="12"/>
  <c r="N62" i="12"/>
  <c r="B41" i="12"/>
  <c r="B52" i="12"/>
  <c r="J46" i="26"/>
  <c r="B21" i="26"/>
  <c r="N46" i="26"/>
  <c r="B22" i="26"/>
  <c r="J62" i="26"/>
  <c r="B23" i="26"/>
  <c r="B38" i="26"/>
  <c r="N62" i="26"/>
  <c r="B41" i="26"/>
  <c r="B52" i="26"/>
  <c r="B54" i="26"/>
  <c r="B55" i="26"/>
  <c r="F49" i="26"/>
  <c r="B54" i="27"/>
  <c r="B55" i="27"/>
  <c r="F49" i="27"/>
  <c r="B54" i="25"/>
  <c r="B55" i="25"/>
  <c r="F49" i="25"/>
  <c r="B54" i="12"/>
  <c r="B55" i="12"/>
  <c r="F49" i="12"/>
  <c r="F52" i="26"/>
  <c r="F54" i="26"/>
  <c r="F55" i="26"/>
  <c r="F61" i="26"/>
  <c r="N25" i="26"/>
  <c r="N26" i="26"/>
  <c r="N27" i="26"/>
  <c r="N29" i="26"/>
  <c r="F62" i="26"/>
  <c r="F51" i="26"/>
  <c r="B62" i="26"/>
  <c r="F52" i="27"/>
  <c r="F54" i="27"/>
  <c r="F55" i="27"/>
  <c r="F61" i="27"/>
  <c r="N25" i="27"/>
  <c r="N26" i="27"/>
  <c r="N27" i="27"/>
  <c r="N29" i="27"/>
  <c r="F62" i="27"/>
  <c r="F51" i="27"/>
  <c r="B62" i="27"/>
  <c r="F52" i="25"/>
  <c r="F55" i="25"/>
  <c r="F61" i="25"/>
  <c r="N25" i="25"/>
  <c r="N26" i="25"/>
  <c r="N27" i="25"/>
  <c r="N29" i="25"/>
  <c r="F62" i="25"/>
  <c r="F51" i="25"/>
  <c r="F54" i="25"/>
  <c r="B62" i="25"/>
  <c r="J30" i="26"/>
  <c r="J30" i="27"/>
  <c r="J30" i="25"/>
  <c r="J30" i="12"/>
  <c r="N25" i="12"/>
  <c r="N26" i="12"/>
  <c r="N27" i="12"/>
  <c r="F54" i="12"/>
  <c r="F51" i="12"/>
  <c r="F52" i="12"/>
  <c r="F34" i="26"/>
  <c r="B56" i="26"/>
  <c r="F34" i="27"/>
  <c r="B56" i="27"/>
  <c r="F34" i="25"/>
  <c r="B56" i="25"/>
  <c r="F34" i="12"/>
  <c r="B56" i="12"/>
  <c r="F55" i="12"/>
  <c r="F61" i="12"/>
  <c r="J22" i="27"/>
  <c r="J22" i="25"/>
  <c r="J22" i="12"/>
  <c r="J22" i="26"/>
  <c r="B172" i="26"/>
  <c r="B170" i="26"/>
  <c r="C169" i="26"/>
  <c r="J29" i="26"/>
  <c r="B172" i="27"/>
  <c r="B170" i="27"/>
  <c r="C169" i="27"/>
  <c r="J29" i="27"/>
  <c r="B172" i="25"/>
  <c r="B170" i="25"/>
  <c r="C169" i="25"/>
  <c r="J29" i="25"/>
  <c r="B172" i="12"/>
  <c r="B170" i="12"/>
  <c r="C169" i="12"/>
  <c r="B174" i="12"/>
  <c r="B173" i="12"/>
  <c r="C173" i="12"/>
  <c r="J29" i="12"/>
  <c r="J28" i="26"/>
  <c r="J28" i="27"/>
  <c r="J28" i="25"/>
  <c r="N29" i="12"/>
  <c r="F62" i="12"/>
  <c r="J28" i="12"/>
  <c r="C175" i="26"/>
  <c r="B175" i="26"/>
  <c r="C174" i="26"/>
  <c r="B174" i="26"/>
  <c r="C173" i="26"/>
  <c r="B173" i="26"/>
  <c r="C172" i="26"/>
  <c r="C171" i="26"/>
  <c r="B171" i="26"/>
  <c r="C170" i="26"/>
  <c r="C175" i="27"/>
  <c r="B175" i="27"/>
  <c r="C174" i="27"/>
  <c r="B174" i="27"/>
  <c r="C173" i="27"/>
  <c r="B173" i="27"/>
  <c r="C172" i="27"/>
  <c r="C171" i="27"/>
  <c r="B171" i="27"/>
  <c r="C170" i="27"/>
  <c r="C175" i="25"/>
  <c r="B175" i="25"/>
  <c r="C174" i="25"/>
  <c r="B174" i="25"/>
  <c r="C173" i="25"/>
  <c r="B173" i="25"/>
  <c r="C172" i="25"/>
  <c r="C171" i="25"/>
  <c r="B171" i="25"/>
  <c r="C170" i="25"/>
  <c r="C175" i="12"/>
  <c r="B175" i="12"/>
  <c r="C174" i="12"/>
  <c r="C172" i="12"/>
  <c r="C171" i="12"/>
  <c r="B171" i="12"/>
  <c r="C170" i="12"/>
  <c r="B79" i="26"/>
  <c r="F67" i="26"/>
  <c r="F68" i="26"/>
  <c r="B79" i="27"/>
  <c r="F67" i="27"/>
  <c r="F68" i="27"/>
  <c r="B79" i="25"/>
  <c r="F67" i="25"/>
  <c r="F68" i="25"/>
  <c r="B79" i="12"/>
  <c r="F67" i="12"/>
  <c r="F68" i="12"/>
  <c r="J21" i="12"/>
  <c r="J23" i="12"/>
  <c r="J24" i="12"/>
  <c r="J25" i="12"/>
  <c r="J78" i="12"/>
  <c r="J26" i="12"/>
  <c r="F69" i="12"/>
  <c r="F70" i="12"/>
  <c r="J27" i="12"/>
  <c r="B62" i="12"/>
  <c r="J21" i="25"/>
  <c r="J23" i="25"/>
  <c r="J24" i="25"/>
  <c r="J25" i="25"/>
  <c r="J78" i="25"/>
  <c r="J26" i="25"/>
  <c r="F69" i="25"/>
  <c r="F70" i="25"/>
  <c r="J27" i="25"/>
  <c r="J21" i="27"/>
  <c r="J23" i="27"/>
  <c r="J24" i="27"/>
  <c r="J25" i="27"/>
  <c r="J78" i="27"/>
  <c r="J26" i="27"/>
  <c r="F69" i="27"/>
  <c r="F70" i="27"/>
  <c r="J27" i="27"/>
  <c r="J21" i="26"/>
  <c r="J23" i="26"/>
  <c r="J24" i="26"/>
  <c r="J25" i="26"/>
  <c r="J78" i="26"/>
  <c r="J26" i="26"/>
  <c r="F69" i="26"/>
  <c r="F70" i="26"/>
  <c r="J27" i="2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Geoffrey O. Mendal</author>
    <author>mendal</author>
    <author>Geoff Mendal</author>
    <author>cai</author>
  </authors>
  <commentList>
    <comment ref="B21" authorId="0" shapeId="0" xr:uid="{BF45BE9D-492D-47A3-9D1D-67BCC56206B0}">
      <text>
        <r>
          <rPr>
            <sz val="8"/>
            <color indexed="81"/>
            <rFont val="Tahoma"/>
            <family val="2"/>
          </rPr>
          <t>W2 income from your primary job.</t>
        </r>
      </text>
    </comment>
    <comment ref="N21" authorId="0" shapeId="0" xr:uid="{2F54D374-E0E6-4121-99CF-43190277698D}">
      <text>
        <r>
          <rPr>
            <sz val="8"/>
            <color indexed="81"/>
            <rFont val="Tahoma"/>
            <family val="2"/>
          </rPr>
          <t>These are the adjustments and preferences that are computed automatically from your federal income and expense entries.</t>
        </r>
      </text>
    </comment>
    <comment ref="B22" authorId="0" shapeId="0" xr:uid="{1ABB901D-2E5E-42BD-8D5B-811E5AEEDF21}">
      <text>
        <r>
          <rPr>
            <sz val="8"/>
            <color indexed="81"/>
            <rFont val="Tahoma"/>
            <family val="2"/>
          </rPr>
          <t>W2 income from your second job.</t>
        </r>
      </text>
    </comment>
    <comment ref="F22" authorId="0" shapeId="0" xr:uid="{1B753D4A-8777-4499-A078-2856468F53E3}">
      <text>
        <r>
          <rPr>
            <sz val="8"/>
            <color indexed="81"/>
            <rFont val="Tahoma"/>
            <family val="2"/>
          </rPr>
          <t>Enter your state income tax liability here.  You may also include state sales taxes paid.</t>
        </r>
      </text>
    </comment>
    <comment ref="N22" authorId="0" shapeId="0" xr:uid="{9B4DD22E-F260-4804-BC86-2150ABC31FAA}">
      <text>
        <r>
          <rPr>
            <sz val="8"/>
            <color indexed="81"/>
            <rFont val="Tahoma"/>
            <family val="2"/>
          </rPr>
          <t>Additional adjustments and preferences can be totaled here as required.  For example, incentive stock options can be added as an adjustment in this cell.</t>
        </r>
      </text>
    </comment>
    <comment ref="B23" authorId="0" shapeId="0" xr:uid="{D4F65329-A4CB-4D8F-881C-506C3F63A591}">
      <text>
        <r>
          <rPr>
            <sz val="8"/>
            <color indexed="81"/>
            <rFont val="Tahoma"/>
            <family val="2"/>
          </rPr>
          <t>Schedule C income.  SE tax is computed using this income.</t>
        </r>
      </text>
    </comment>
    <comment ref="F23" authorId="0" shapeId="0" xr:uid="{85442992-9908-4101-8F0B-BA3F485EF42E}">
      <text>
        <r>
          <rPr>
            <sz val="8"/>
            <color indexed="81"/>
            <rFont val="Tahoma"/>
            <family val="2"/>
          </rPr>
          <t>Any local or city income taxes other than state income tax go here.</t>
        </r>
      </text>
    </comment>
    <comment ref="N23" authorId="0" shapeId="0" xr:uid="{3378E34E-43C2-457C-8B01-D61C5B795074}">
      <text>
        <r>
          <rPr>
            <sz val="8"/>
            <color indexed="81"/>
            <rFont val="Tahoma"/>
            <family val="2"/>
          </rPr>
          <t>If this cell value is 0, normal capital gains basis will be used when computing AMT.  Use this cell to override this behavior by establishing a dual-basis of capital gains for AMT purposes.</t>
        </r>
      </text>
    </comment>
    <comment ref="B24" authorId="0" shapeId="0" xr:uid="{3B8D87C3-35B2-49AE-A10B-CD417D8ED1F4}">
      <text>
        <r>
          <rPr>
            <sz val="8"/>
            <color indexed="81"/>
            <rFont val="Tahoma"/>
            <family val="2"/>
          </rPr>
          <t>Savings account interest earned.</t>
        </r>
      </text>
    </comment>
    <comment ref="F24" authorId="0" shapeId="0" xr:uid="{E4B49FDF-4A98-4B34-BAF2-CBA17F984C46}">
      <text>
        <r>
          <rPr>
            <sz val="8"/>
            <color indexed="81"/>
            <rFont val="Tahoma"/>
            <family val="2"/>
          </rPr>
          <t>This amount designates taxes owed for prior years paid in this year.</t>
        </r>
      </text>
    </comment>
    <comment ref="N24" authorId="0" shapeId="0" xr:uid="{520A1ED7-F53E-4D70-ACF3-B6508209EADF}">
      <text>
        <r>
          <rPr>
            <sz val="8"/>
            <color indexed="81"/>
            <rFont val="Tahoma"/>
            <family val="2"/>
          </rPr>
          <t>This is your taxable income for the purposes of computing the AMT.</t>
        </r>
      </text>
    </comment>
    <comment ref="B25" authorId="0" shapeId="0" xr:uid="{B19C1A31-531C-403F-BE08-88F5F9FE61EF}">
      <text>
        <r>
          <rPr>
            <sz val="8"/>
            <color indexed="81"/>
            <rFont val="Tahoma"/>
            <family val="2"/>
          </rPr>
          <t>Savings account interest earned.</t>
        </r>
      </text>
    </comment>
    <comment ref="N25" authorId="0" shapeId="0" xr:uid="{548BB3FA-726F-4C73-A513-C6D71EC64253}">
      <text>
        <r>
          <rPr>
            <sz val="8"/>
            <color indexed="81"/>
            <rFont val="Tahoma"/>
            <family val="2"/>
          </rPr>
          <t>This is the computed exemption amount allowed by the AMT.</t>
        </r>
      </text>
    </comment>
    <comment ref="B26" authorId="0" shapeId="0" xr:uid="{D0B86CE9-3878-4882-AF51-BB5776D86724}">
      <text>
        <r>
          <rPr>
            <sz val="8"/>
            <color indexed="81"/>
            <rFont val="Tahoma"/>
            <family val="2"/>
          </rPr>
          <t>Money market account interest earned.</t>
        </r>
      </text>
    </comment>
    <comment ref="F26" authorId="0" shapeId="0" xr:uid="{BD9D928C-1190-4841-BEAE-372F61A40CA5}">
      <text>
        <r>
          <rPr>
            <sz val="8"/>
            <color indexed="81"/>
            <rFont val="Tahoma"/>
            <family val="2"/>
          </rPr>
          <t>This amount includes taxes paid on personal property such as the taxable portion of automobile license and registration.</t>
        </r>
      </text>
    </comment>
    <comment ref="N26" authorId="0" shapeId="0" xr:uid="{E7590E19-A307-42AF-9064-FCDF71751122}">
      <text>
        <r>
          <rPr>
            <sz val="8"/>
            <color indexed="81"/>
            <rFont val="Tahoma"/>
            <family val="2"/>
          </rPr>
          <t>This is the amount of income subject to the AMT computation.</t>
        </r>
      </text>
    </comment>
    <comment ref="B27" authorId="0" shapeId="0" xr:uid="{9A9C229E-1B85-4575-8D04-0DDBAF8BB184}">
      <text>
        <r>
          <rPr>
            <sz val="8"/>
            <color indexed="81"/>
            <rFont val="Tahoma"/>
            <family val="2"/>
          </rPr>
          <t>Money market account interest earned.</t>
        </r>
      </text>
    </comment>
    <comment ref="F27" authorId="0" shapeId="0" xr:uid="{259CC7A8-33A5-416A-9403-BBDA843D05E1}">
      <text>
        <r>
          <rPr>
            <sz val="8"/>
            <color indexed="81"/>
            <rFont val="Tahoma"/>
            <family val="2"/>
          </rPr>
          <t>Generally, points paid when purchasing a new home are deductable in full, while points paid for a refinance must be amortized over the life of the loan.</t>
        </r>
      </text>
    </comment>
    <comment ref="N27" authorId="0" shapeId="0" xr:uid="{5DB0DBD2-0955-44DF-87D7-63B34433F831}">
      <text>
        <r>
          <rPr>
            <sz val="8"/>
            <color indexed="81"/>
            <rFont val="Tahoma"/>
            <family val="2"/>
          </rPr>
          <t>This is the computed AMT amount.</t>
        </r>
      </text>
    </comment>
    <comment ref="B28" authorId="0" shapeId="0" xr:uid="{73C5477F-FF07-40FC-AAF1-CEC8EFB99C04}">
      <text>
        <r>
          <rPr>
            <sz val="8"/>
            <color indexed="81"/>
            <rFont val="Tahoma"/>
            <family val="2"/>
          </rPr>
          <t>Interest from US treasury bills, notes, and bonds.  Federal only taxable social security income can also be placed here.</t>
        </r>
      </text>
    </comment>
    <comment ref="J28" authorId="1" shapeId="0" xr:uid="{7B1D8151-C38F-48C2-8E75-89930D6405A8}">
      <text>
        <r>
          <rPr>
            <sz val="9"/>
            <color indexed="81"/>
            <rFont val="Tahoma"/>
            <family val="2"/>
          </rPr>
          <t>The percentage computed for tax due divided by taxable income.</t>
        </r>
      </text>
    </comment>
    <comment ref="N28" authorId="0" shapeId="0" xr:uid="{292D38B7-9D73-4421-9C76-F73CA61B8BFC}">
      <text>
        <r>
          <rPr>
            <sz val="8"/>
            <color indexed="81"/>
            <rFont val="Tahoma"/>
            <family val="2"/>
          </rPr>
          <t>Use this cell to enter dollar-for-dollar tax credits against the AMT.  For example, the foreign tax credit.</t>
        </r>
      </text>
    </comment>
    <comment ref="B29" authorId="0" shapeId="0" xr:uid="{FF90ACF3-0E3C-4AB8-B7D5-9BE1ADDD8D26}">
      <text>
        <r>
          <rPr>
            <sz val="8"/>
            <color indexed="81"/>
            <rFont val="Tahoma"/>
            <family val="2"/>
          </rPr>
          <t>Stock and fund dividends that qualify for the long-term capital gains tax rate appear here.</t>
        </r>
      </text>
    </comment>
    <comment ref="F29" authorId="0" shapeId="0" xr:uid="{B86EBA08-6E9C-4319-93B1-15ADF4E02413}">
      <text>
        <r>
          <rPr>
            <sz val="8"/>
            <color indexed="81"/>
            <rFont val="Tahoma"/>
            <family val="2"/>
          </rPr>
          <t>If this amount is over $500, then form 8283 must be filed with the return.  If any single donation comprising this amount is over $500, then more parts of form 8283 will be required to be filled out.</t>
        </r>
      </text>
    </comment>
    <comment ref="N29" authorId="0" shapeId="0" xr:uid="{C4F577FD-D56A-4E31-B49D-B85F5B6C54EB}">
      <text>
        <r>
          <rPr>
            <sz val="8"/>
            <color indexed="81"/>
            <rFont val="Tahoma"/>
            <family val="2"/>
          </rPr>
          <t>This is the additional tax owed, if any, as a result of the AMT.  If the computed AMT tax is less than the normal income tax, then this value will be zero (no AMT is due).</t>
        </r>
      </text>
    </comment>
    <comment ref="B30" authorId="0" shapeId="0" xr:uid="{5C1E4165-7D05-4C77-80C8-87A4623C93FD}">
      <text>
        <r>
          <rPr>
            <sz val="8"/>
            <color indexed="81"/>
            <rFont val="Tahoma"/>
            <family val="2"/>
          </rPr>
          <t>Stock and fund distributions that are  subject to short term income tax rate appear here.  It is acceptable to match short-term losses here, as long as the end result is 0 or greater.  If your losses exceed your gains, specify the net loss in lieu of gains below.</t>
        </r>
      </text>
    </comment>
    <comment ref="F30" authorId="0" shapeId="0" xr:uid="{4DC46258-0A5F-45C7-8D2C-F80066CDBE68}">
      <text>
        <r>
          <rPr>
            <sz val="8"/>
            <color indexed="81"/>
            <rFont val="Tahoma"/>
            <family val="2"/>
          </rPr>
          <t>Use this amount to compute deductions that are not listed above.  For example, qualified casualty losses  can be included in this figure.</t>
        </r>
      </text>
    </comment>
    <comment ref="B31" authorId="0" shapeId="0" xr:uid="{6F5A60E9-567E-42DC-ADD0-0389ECBBA789}">
      <text>
        <r>
          <rPr>
            <sz val="8"/>
            <color indexed="81"/>
            <rFont val="Tahoma"/>
            <family val="2"/>
          </rPr>
          <t>Stock and fund distributions that are  subject to long term capital gains tax rate appear here.  It is acceptable to match long-term losses here, as long as the end result is 0 or greater.  If your losses exceed your gains, specify the net loss in lieu of gains below.</t>
        </r>
      </text>
    </comment>
    <comment ref="F31" authorId="0" shapeId="0" xr:uid="{66A696FD-FEC3-417A-B762-5C917F511659}">
      <text>
        <r>
          <rPr>
            <sz val="8"/>
            <color indexed="81"/>
            <rFont val="Tahoma"/>
            <family val="2"/>
          </rPr>
          <t>Enter all medical and dental expenses here.  The actual amount allowed will be computed above the 7.5% adjusted gross income threshold.</t>
        </r>
      </text>
    </comment>
    <comment ref="B32" authorId="0" shapeId="0" xr:uid="{26AACFBE-9183-43F9-9CAE-6AF78D615A71}">
      <text>
        <r>
          <rPr>
            <sz val="8"/>
            <color indexed="81"/>
            <rFont val="Tahoma"/>
            <family val="2"/>
          </rPr>
          <t>Stock/fund distributions that are subject to the 60 month cap gains tax rate appear here.  This rate goes into effect for purchases made after 1/1/2001, and so the value here should be 0.00.</t>
        </r>
      </text>
    </comment>
    <comment ref="F32" authorId="0" shapeId="0" xr:uid="{3BA7F69A-E5BB-4953-8B54-331DF9B97F5F}">
      <text>
        <r>
          <rPr>
            <sz val="8"/>
            <color indexed="81"/>
            <rFont val="Tahoma"/>
            <family val="2"/>
          </rPr>
          <t>Starting in 2018, the 2% deduction has been eliminated so this value should remain as 0.
Enter all deductions here which will then be computed against a 2% threshold over adjusted gross income.  Examples of such deductions include unreimbursed employee expenses, tax preparation fees, investment expenses, and safe deposit box expenses.</t>
        </r>
      </text>
    </comment>
    <comment ref="B33" authorId="0" shapeId="0" xr:uid="{9415A7D6-1EED-4D12-861F-A6A1A4660622}">
      <text>
        <r>
          <rPr>
            <sz val="8"/>
            <color indexed="81"/>
            <rFont val="Tahoma"/>
            <family val="2"/>
          </rPr>
          <t>Prior year state tax refund appears here assuming that last year's tax return claimed the state taxes on Federal Schedule A.</t>
        </r>
      </text>
    </comment>
    <comment ref="B34" authorId="0" shapeId="0" xr:uid="{0B32EC45-57CB-4221-9E4E-CAC44A4B3810}">
      <text>
        <r>
          <rPr>
            <sz val="8"/>
            <color indexed="81"/>
            <rFont val="Tahoma"/>
            <family val="2"/>
          </rPr>
          <t>Use this amount to capture any federal and state taxable income not accounted for in the above choices.  Examples include royalties, gambling winnings, pensions, alimony, social security income which is not state tax free, and IRA distributions.</t>
        </r>
      </text>
    </comment>
    <comment ref="B35" authorId="0" shapeId="0" xr:uid="{C2F720B7-79C7-4089-819C-2F4A11D38F93}">
      <text>
        <r>
          <rPr>
            <sz val="8"/>
            <color indexed="8"/>
            <rFont val="Tahoma"/>
            <family val="2"/>
          </rPr>
          <t>Used in determining QBI deductions</t>
        </r>
      </text>
    </comment>
    <comment ref="B36" authorId="0" shapeId="0" xr:uid="{7F1F0680-79B6-4766-8E39-1836FF2562F6}">
      <text>
        <r>
          <rPr>
            <sz val="8"/>
            <color indexed="8"/>
            <rFont val="Tahoma"/>
            <family val="2"/>
          </rPr>
          <t>Income for QBI purposes</t>
        </r>
      </text>
    </comment>
    <comment ref="F37" authorId="0" shapeId="0" xr:uid="{E77843E9-65D1-4474-BCAF-8E24E00F5C34}">
      <text>
        <r>
          <rPr>
            <sz val="8"/>
            <color indexed="81"/>
            <rFont val="Tahoma"/>
            <family val="2"/>
          </rPr>
          <t>Incomes over a certain threshold are subject to having their Schedule A deductions limited by this amount.</t>
        </r>
      </text>
    </comment>
    <comment ref="F38" authorId="0" shapeId="0" xr:uid="{3BEFF2B7-0D95-4A31-B5BE-8A0D20C0734B}">
      <text>
        <r>
          <rPr>
            <sz val="8"/>
            <color indexed="81"/>
            <rFont val="Tahoma"/>
            <family val="2"/>
          </rPr>
          <t>The computed amount is the greater of the itemized deductions minus any limitation or that of the standard deduction.</t>
        </r>
      </text>
    </comment>
    <comment ref="F40" authorId="0" shapeId="0" xr:uid="{E8F94C6D-8FB3-4644-9752-B00FCD777B6B}">
      <text>
        <r>
          <rPr>
            <sz val="8"/>
            <color indexed="81"/>
            <rFont val="Tahoma"/>
            <family val="2"/>
          </rPr>
          <t>Computed automatically as the per dependent amount multiplied by the number of dependents (including oneself).</t>
        </r>
      </text>
    </comment>
    <comment ref="B41" authorId="0" shapeId="0" xr:uid="{1731467C-7FCF-4324-BCC6-79500F98EB2D}">
      <text>
        <r>
          <rPr>
            <sz val="8"/>
            <color indexed="81"/>
            <rFont val="Tahoma"/>
            <family val="2"/>
          </rPr>
          <t>Business expenses taken against Schedule C income are deducted here.</t>
        </r>
      </text>
    </comment>
    <comment ref="F41" authorId="0" shapeId="0" xr:uid="{117A4FE5-5C69-482C-BF2D-2206BF8FD7CB}">
      <text>
        <r>
          <rPr>
            <sz val="8"/>
            <color indexed="81"/>
            <rFont val="Tahoma"/>
            <family val="2"/>
          </rPr>
          <t>Incomes over a certain threshold are subject to having their personal deductions limited by this amount.</t>
        </r>
      </text>
    </comment>
    <comment ref="B42" authorId="0" shapeId="0" xr:uid="{0A77F4EF-AD52-4B61-AD67-4422737DACC4}">
      <text>
        <r>
          <rPr>
            <sz val="8"/>
            <color indexed="81"/>
            <rFont val="Tahoma"/>
            <family val="2"/>
          </rPr>
          <t>Automatically computed from SE tax calculation.  1/2 of this tax is allowed as a deduction from Federal income.</t>
        </r>
      </text>
    </comment>
    <comment ref="B43" authorId="0" shapeId="0" xr:uid="{D17BDAB3-B999-4C9E-9300-60ABE62D3F24}">
      <text>
        <r>
          <rPr>
            <sz val="8"/>
            <color indexed="81"/>
            <rFont val="Tahoma"/>
            <family val="2"/>
          </rPr>
          <t>A certain percentage (see below) of health insurance premiums are deductable if paid against Schedule C generated income.  Enter your total premiums here and the appropriate percentage will be taken in the total below.</t>
        </r>
      </text>
    </comment>
    <comment ref="B44" authorId="0" shapeId="0" xr:uid="{C20CBCD9-EDBE-4FEC-8A7F-0A231800235B}">
      <text>
        <r>
          <rPr>
            <sz val="8"/>
            <color indexed="81"/>
            <rFont val="Tahoma"/>
            <family val="2"/>
          </rPr>
          <t>Enter the amount of any IRS cafeteria plan contributions that are allowed as income tax deductions and exempt from FICA and Medicare taxes.</t>
        </r>
      </text>
    </comment>
    <comment ref="F44" authorId="0" shapeId="0" xr:uid="{F05D6E0C-B128-443D-9A31-67F17F84A6EF}">
      <text>
        <r>
          <rPr>
            <sz val="8"/>
            <color indexed="81"/>
            <rFont val="Tahoma"/>
            <family val="2"/>
          </rPr>
          <t>Qualified business income deduction per Schedule 199A.  For instructions on what value to enter here, see IRS Publication 535.
Starting in calendar year 2020, the Federal CARES Act allows an above the line maximum of $300 in charitable contributions for non-itemized filers ($600 for married joint filers), a portion of which can appear here.</t>
        </r>
      </text>
    </comment>
    <comment ref="B45" authorId="0" shapeId="0" xr:uid="{67BF931E-6BBD-4893-8247-C144C74B7C03}">
      <text>
        <r>
          <rPr>
            <sz val="8"/>
            <color indexed="81"/>
            <rFont val="Tahoma"/>
            <family val="2"/>
          </rPr>
          <t>Losses from the sale of stock and mutual funds.</t>
        </r>
      </text>
    </comment>
    <comment ref="B46" authorId="0" shapeId="0" xr:uid="{2DD9401D-5E3B-4F31-B3E1-A40426ECDCFE}">
      <text>
        <r>
          <rPr>
            <sz val="8"/>
            <color indexed="81"/>
            <rFont val="Tahoma"/>
            <family val="2"/>
          </rPr>
          <t>Other types of deductions not accounted for above can appear here.  Examples include deductable IRA/401(k)/Keogh/SEP/SIMPLE contributions, medical savings account (MSA) deductions, qualified moving expenses, and alimony paid.</t>
        </r>
      </text>
    </comment>
    <comment ref="F49" authorId="0" shapeId="0" xr:uid="{078B7EB6-1374-44E8-8407-C901865B7B23}">
      <text>
        <r>
          <rPr>
            <sz val="8"/>
            <color indexed="81"/>
            <rFont val="Tahoma"/>
            <family val="2"/>
          </rPr>
          <t>This computation provides the income tax owed on the taxable income computed.</t>
        </r>
      </text>
    </comment>
    <comment ref="F50" authorId="0" shapeId="0" xr:uid="{10667222-EF86-4BD8-AAFC-E46AA5B55BEA}">
      <text>
        <r>
          <rPr>
            <sz val="8"/>
            <color indexed="81"/>
            <rFont val="Tahoma"/>
            <family val="2"/>
          </rPr>
          <t>Other types of taxes not accounted for above can appear here.  Examples include early withdrawal penalties on reitrement account savings.</t>
        </r>
      </text>
    </comment>
    <comment ref="F51" authorId="0" shapeId="0" xr:uid="{F1602411-8EF6-41E3-89E2-60AA53860016}">
      <text>
        <r>
          <rPr>
            <sz val="8"/>
            <color indexed="81"/>
            <rFont val="Tahoma"/>
            <family val="2"/>
          </rPr>
          <t>Medicare tax withheld from W2 income sources.</t>
        </r>
      </text>
    </comment>
    <comment ref="F52" authorId="0" shapeId="0" xr:uid="{75D6F495-9733-45B2-BC08-F5FABA0A5E3D}">
      <text>
        <r>
          <rPr>
            <sz val="8"/>
            <color indexed="81"/>
            <rFont val="Tahoma"/>
            <family val="2"/>
          </rPr>
          <t>Medicare surtax withheld affecting high income earners regardless of filing status.  This amount applies to earned income streams (W-2 and Schedule C).</t>
        </r>
      </text>
    </comment>
    <comment ref="B53" authorId="0" shapeId="0" xr:uid="{231FB280-2DEC-4F35-9F95-1DD47A316738}">
      <text>
        <r>
          <rPr>
            <sz val="8"/>
            <color indexed="81"/>
            <rFont val="Tahoma"/>
            <family val="2"/>
          </rPr>
          <t>Stock and mutual fund losses in excess of the maximum which must be
applied in future years.</t>
        </r>
      </text>
    </comment>
    <comment ref="F53" authorId="1" shapeId="0" xr:uid="{7EF652A8-BC24-4783-BB3F-BFC9D42A614D}">
      <text>
        <r>
          <rPr>
            <sz val="9"/>
            <color indexed="81"/>
            <rFont val="Tahoma"/>
            <family val="2"/>
          </rPr>
          <t>Medicare surtax affecting high income earners regardless of filing status.  This amount applies to the lesser of MAPI and NII exceeding the threshold.  This amount is NOT withheld.</t>
        </r>
      </text>
    </comment>
    <comment ref="F54" authorId="0" shapeId="0" xr:uid="{203EE12B-01FD-4D10-BFB1-0DA6060C0AA5}">
      <text>
        <r>
          <rPr>
            <sz val="8"/>
            <color indexed="81"/>
            <rFont val="Tahoma"/>
            <family val="2"/>
          </rPr>
          <t>This computation provides the amount of FICA tax automatically withheld from W2 income.  It does not result in additional taxes owed, but may result in an overpayment of maximum FICA tax if more than one W2 income source exists.</t>
        </r>
      </text>
    </comment>
    <comment ref="F55" authorId="0" shapeId="0" xr:uid="{A630F01B-1C17-46FB-9672-7F141C62A8EF}">
      <text>
        <r>
          <rPr>
            <sz val="8"/>
            <color indexed="81"/>
            <rFont val="Tahoma"/>
            <family val="2"/>
          </rPr>
          <t>FICA overpayments can result from having more than one W2 income source.   This computation provides the overpayment amount, if any, which then reduces the taxes owed.</t>
        </r>
      </text>
    </comment>
    <comment ref="B56" authorId="2" shapeId="0" xr:uid="{831EA82D-60C4-4E03-85FB-E93B0C247178}">
      <text>
        <r>
          <rPr>
            <sz val="8"/>
            <color indexed="81"/>
            <rFont val="Tahoma"/>
            <family val="2"/>
          </rPr>
          <t>This is the net amount of qualified income subject to the capital gains rate tax.</t>
        </r>
      </text>
    </comment>
    <comment ref="B57" authorId="0" shapeId="0" xr:uid="{EB51B833-AB6B-42A0-996D-064C1891AB4E}">
      <text>
        <r>
          <rPr>
            <sz val="8"/>
            <color indexed="81"/>
            <rFont val="Tahoma"/>
            <family val="2"/>
          </rPr>
          <t>This is the threshold of adjusted gross income that must be absorbed by medical/dental deductions.</t>
        </r>
      </text>
    </comment>
    <comment ref="F57" authorId="0" shapeId="0" xr:uid="{F8C32C4B-665F-4915-9BE2-7687EA58EA58}">
      <text>
        <r>
          <rPr>
            <sz val="8"/>
            <color indexed="81"/>
            <rFont val="Tahoma"/>
            <family val="2"/>
          </rPr>
          <t>This computation provides the amount of FICA tax owed on Schedule C income.  It takes into account any W2 income earned up to the maximum FICA amount.</t>
        </r>
      </text>
    </comment>
    <comment ref="B58" authorId="0" shapeId="0" xr:uid="{C5D8A5C7-846F-4F72-8382-2950D51E0AE8}">
      <text>
        <r>
          <rPr>
            <sz val="8"/>
            <color indexed="81"/>
            <rFont val="Tahoma"/>
            <family val="2"/>
          </rPr>
          <t>This is the threshold of adjusted gross income that must be absorbed by miscellaneous deductions.</t>
        </r>
      </text>
    </comment>
    <comment ref="F58" authorId="0" shapeId="0" xr:uid="{B235938C-7A02-466F-804D-FEC16F38D155}">
      <text>
        <r>
          <rPr>
            <sz val="8"/>
            <color indexed="81"/>
            <rFont val="Tahoma"/>
            <family val="2"/>
          </rPr>
          <t>This computation provides the medicare tax owed on Schedule C income.</t>
        </r>
      </text>
    </comment>
    <comment ref="B59" authorId="0" shapeId="0" xr:uid="{B76FB405-2B93-421C-8CD2-2EB958C8556C}">
      <text>
        <r>
          <rPr>
            <sz val="8"/>
            <color indexed="81"/>
            <rFont val="Tahoma"/>
            <family val="2"/>
          </rPr>
          <t>This is the computed amount of allowed medical and miscellaneous deductions beyond the threshold limitations of Federal Schedule A.</t>
        </r>
      </text>
    </comment>
    <comment ref="B60" authorId="2" shapeId="0" xr:uid="{21DE16FB-AE0D-4E4D-B514-34BE4587C26D}">
      <text>
        <r>
          <rPr>
            <sz val="8"/>
            <color indexed="81"/>
            <rFont val="Tahoma"/>
            <family val="2"/>
          </rPr>
          <t>This is the amount of cash and noncash donations made which are allowed as deductions.  At a minimum, donations are limited to 50% of federal AGI.</t>
        </r>
      </text>
    </comment>
    <comment ref="B61" authorId="2" shapeId="0" xr:uid="{77D25C76-0871-4CD2-8A22-CA390DC6FB31}">
      <text>
        <r>
          <rPr>
            <sz val="8"/>
            <color indexed="81"/>
            <rFont val="Tahoma"/>
            <family val="2"/>
          </rPr>
          <t>This is the amount of cash and noncash donations made which are allowed as deductions.  At a minimum, donations are limited to 50% of federal AGI.</t>
        </r>
      </text>
    </comment>
    <comment ref="F61" authorId="0" shapeId="0" xr:uid="{11D2C908-DEC8-4231-87FF-DF0AE735CE45}">
      <text>
        <r>
          <rPr>
            <sz val="8"/>
            <color indexed="81"/>
            <rFont val="Tahoma"/>
            <family val="2"/>
          </rPr>
          <t>This is a combination of income and self-employment (SE) taxes owed.</t>
        </r>
      </text>
    </comment>
    <comment ref="B62" authorId="0" shapeId="0" xr:uid="{046914E6-1218-4654-B3EE-432FFE38FE1C}">
      <text>
        <r>
          <rPr>
            <sz val="8"/>
            <color indexed="81"/>
            <rFont val="Tahoma"/>
            <family val="2"/>
          </rPr>
          <t>This amount is the gross total of all income streams minus the total of all taxes owed (even though those taxes may not yet have been paid to date).</t>
        </r>
      </text>
    </comment>
    <comment ref="F62" authorId="0" shapeId="0" xr:uid="{D8B12642-4B7C-4382-A4DA-0A83A5AAAEB3}">
      <text>
        <r>
          <rPr>
            <sz val="8"/>
            <color indexed="81"/>
            <rFont val="Tahoma"/>
            <family val="2"/>
          </rPr>
          <t>This is the total tax owed, taking into account any additional sums owed by the AMT.</t>
        </r>
      </text>
    </comment>
    <comment ref="F64" authorId="0" shapeId="0" xr:uid="{C889F2A8-06A0-44E3-816D-37412A7CD1AA}">
      <text>
        <r>
          <rPr>
            <sz val="8"/>
            <color indexed="81"/>
            <rFont val="Tahoma"/>
            <family val="2"/>
          </rPr>
          <t>This amount should be the total of all federal income taxes withheld from W2 income.  You may want to include the F51 amount here since it is withheld and included in the F59 amount.</t>
        </r>
      </text>
    </comment>
    <comment ref="F65" authorId="2" shapeId="0" xr:uid="{D153C5FC-BDBD-4D27-A28E-4102D426D999}">
      <text>
        <r>
          <rPr>
            <sz val="8"/>
            <color indexed="81"/>
            <rFont val="Tahoma"/>
            <family val="2"/>
          </rPr>
          <t>Include the amount of AMT deferral tax paid in the previous year that qualifies as a carryforward for this year.</t>
        </r>
      </text>
    </comment>
    <comment ref="B66" authorId="2" shapeId="0" xr:uid="{A04B2FB4-90DE-40E6-8E42-93400930FD14}">
      <text>
        <r>
          <rPr>
            <sz val="8"/>
            <color indexed="81"/>
            <rFont val="Tahoma"/>
            <family val="2"/>
          </rPr>
          <t>Deduction. (non-SSTBs are not subject to this limit, but there are other limits beyond the scope of this spreadsheet, including W-2 wages-based for S Corps)
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t>
        </r>
      </text>
    </comment>
    <comment ref="F66" authorId="2" shapeId="0" xr:uid="{8F43D24F-44A9-4B3A-8C08-DDB2190DEBAB}">
      <text>
        <r>
          <rPr>
            <sz val="8"/>
            <color indexed="81"/>
            <rFont val="Tahoma"/>
            <family val="2"/>
          </rPr>
          <t xml:space="preserve">Include any tax credits you qualify for which are not accounted for elsewhere. </t>
        </r>
      </text>
    </comment>
    <comment ref="F67" authorId="2" shapeId="0" xr:uid="{2BDD0136-8347-43EB-B234-A57AEBD1F13A}">
      <text>
        <r>
          <rPr>
            <sz val="8"/>
            <color indexed="81"/>
            <rFont val="Tahoma"/>
            <family val="2"/>
          </rPr>
          <t>This computed amount determines the child tax credit that one is eligible to receive.  This credit is then subject to the limit of tax due computed below.</t>
        </r>
      </text>
    </comment>
    <comment ref="F68" authorId="0" shapeId="0" xr:uid="{0D4C901F-60BE-4335-B376-179CE0841859}">
      <text>
        <r>
          <rPr>
            <sz val="8"/>
            <color indexed="81"/>
            <rFont val="Tahoma"/>
            <family val="2"/>
          </rPr>
          <t>This computed amount, if positive, means that additional federal taxes are owed which should be paid at quarterly intervals using form 1040-ES.  If zero or negative, it means that a tax overpayment is in effect.  The child tax credit is factored into this amount</t>
        </r>
      </text>
    </comment>
    <comment ref="B74" authorId="0" shapeId="0" xr:uid="{A985C987-CF40-4F12-A145-BBEF628110AB}">
      <text>
        <r>
          <rPr>
            <sz val="8"/>
            <color indexed="81"/>
            <rFont val="Tahoma"/>
            <family val="2"/>
          </rPr>
          <t>This figure represents the number of dependents listed on the form.  The taxpayer is usually a dependent unless he or she is being claimed on someone else's tax return.</t>
        </r>
      </text>
    </comment>
    <comment ref="B75" authorId="0" shapeId="0" xr:uid="{E1A0B3D0-E90D-4269-9CEF-7AC476B1DEAD}">
      <text>
        <r>
          <rPr>
            <sz val="8"/>
            <color indexed="81"/>
            <rFont val="Tahoma"/>
            <family val="2"/>
          </rPr>
          <t>Enter 1 if blind, 0 otherwise.</t>
        </r>
      </text>
    </comment>
    <comment ref="B76" authorId="0" shapeId="0" xr:uid="{605D727F-84D4-4184-A272-CD5190329EDA}">
      <text>
        <r>
          <rPr>
            <sz val="8"/>
            <color indexed="81"/>
            <rFont val="Tahoma"/>
            <family val="2"/>
          </rPr>
          <t>Enter 1 if 65 or older, 0 otherwise.</t>
        </r>
      </text>
    </comment>
    <comment ref="B77" authorId="0" shapeId="0" xr:uid="{E27490C4-36CA-40C4-AABE-F418AEB85EA4}">
      <text>
        <r>
          <rPr>
            <sz val="8"/>
            <color indexed="81"/>
            <rFont val="Tahoma"/>
            <family val="2"/>
          </rPr>
          <t>If "YES", the W2 incomes are assumed to come from one person.  If "NO", each W2 income is assumed to come from a different person.  This affects FICA tax overpayment and is meaningful only for a joint filing.</t>
        </r>
      </text>
    </comment>
    <comment ref="B78" authorId="0" shapeId="0" xr:uid="{143F77C4-0C4F-4CC1-BB1B-01641583FA63}">
      <text>
        <r>
          <rPr>
            <sz val="8"/>
            <color indexed="81"/>
            <rFont val="Tahoma"/>
            <family val="2"/>
          </rPr>
          <t>If "YES", the federal tax due computations will be rounded to the nearest dollar.</t>
        </r>
      </text>
    </comment>
    <comment ref="B79" authorId="0" shapeId="0" xr:uid="{0BF0A2CE-EAB5-480A-8F30-3311FE4DDD8E}">
      <text>
        <r>
          <rPr>
            <sz val="8"/>
            <color indexed="81"/>
            <rFont val="Tahoma"/>
            <family val="2"/>
          </rPr>
          <t>Number of dependents for the child tax credit can be overridden.</t>
        </r>
      </text>
    </comment>
    <comment ref="B80" authorId="0" shapeId="0" xr:uid="{37BF6281-AD70-4F08-8298-025FF1C7BB15}">
      <text>
        <r>
          <rPr>
            <sz val="10"/>
            <color indexed="8"/>
            <rFont val="Arial"/>
            <family val="2"/>
          </rPr>
          <t>Section 199A qualified business income (QBI) deduction is a </t>
        </r>
        <r>
          <rPr>
            <b/>
            <sz val="8"/>
            <color indexed="8"/>
            <rFont val="Arial"/>
            <family val="2"/>
          </rPr>
          <t>20% deduction off taxable income</t>
        </r>
        <r>
          <rPr>
            <sz val="8"/>
            <color indexed="8"/>
            <rFont val="Arial"/>
            <family val="2"/>
          </rPr>
          <t xml:space="preserve">
</t>
        </r>
        <r>
          <rPr>
            <sz val="10"/>
            <color indexed="8"/>
            <rFont val="Arial"/>
            <family val="2"/>
          </rPr>
          <t>applying to eligible self-employed (Sch. C/1099-NEC),</t>
        </r>
        <r>
          <rPr>
            <sz val="8"/>
            <color indexed="8"/>
            <rFont val="Arial"/>
            <family val="2"/>
          </rPr>
          <t xml:space="preserve">
</t>
        </r>
        <r>
          <rPr>
            <sz val="10"/>
            <color indexed="8"/>
            <rFont val="Arial"/>
            <family val="2"/>
          </rPr>
          <t>small-business owners (LLC/S-corp),</t>
        </r>
        <r>
          <rPr>
            <sz val="10"/>
            <color indexed="8"/>
            <rFont val="Arial"/>
            <family val="2"/>
          </rPr>
          <t xml:space="preserve"> and qualifying REIT and pass-through partnership distributions</t>
        </r>
      </text>
    </comment>
    <comment ref="B81" authorId="0" shapeId="0" xr:uid="{C86583E2-B5C1-473B-9FD3-EE6331F240A2}">
      <text>
        <r>
          <rPr>
            <u/>
            <sz val="8"/>
            <color indexed="8"/>
            <rFont val="Arial"/>
            <family val="2"/>
          </rPr>
          <t>Specified service trades or businesses (SSTBs)</t>
        </r>
        <r>
          <rPr>
            <sz val="8"/>
            <color indexed="8"/>
            <rFont val="Arial"/>
            <family val="2"/>
          </rPr>
          <t xml:space="preserve"> are:
</t>
        </r>
        <r>
          <rPr>
            <sz val="8"/>
            <color indexed="8"/>
            <rFont val="Arial"/>
            <family val="2"/>
          </rPr>
          <t>1.Trades or businesses performing services in the fields of health, law, accounting, actuarial science, performing arts, consulting, athletics, financial services, brokerage services, or any trade or business </t>
        </r>
        <r>
          <rPr>
            <b/>
            <sz val="8"/>
            <color indexed="8"/>
            <rFont val="Arial"/>
            <family val="2"/>
          </rPr>
          <t>where the principal asset of that trade or business is the reputation or skill of one or more of its employees</t>
        </r>
        <r>
          <rPr>
            <sz val="8"/>
            <color indexed="8"/>
            <rFont val="Arial"/>
            <family val="2"/>
          </rPr>
          <t xml:space="preserve">
See Sec. 1202(e)(3)(A) for list; however,
</t>
        </r>
        <r>
          <rPr>
            <sz val="8"/>
            <color indexed="8"/>
            <rFont val="Arial"/>
            <family val="2"/>
          </rPr>
          <t>TCJA specifically excluded </t>
        </r>
        <r>
          <rPr>
            <b/>
            <sz val="8"/>
            <color indexed="8"/>
            <rFont val="Arial"/>
            <family val="2"/>
          </rPr>
          <t>engineering &amp; architecture</t>
        </r>
        <r>
          <rPr>
            <sz val="8"/>
            <color indexed="8"/>
            <rFont val="Arial"/>
            <family val="2"/>
          </rPr>
          <t>:</t>
        </r>
        <r>
          <rPr>
            <sz val="8"/>
            <color indexed="8"/>
            <rFont val="Arial"/>
            <family val="2"/>
          </rPr>
          <t xml:space="preserve">
</t>
        </r>
        <r>
          <rPr>
            <i/>
            <sz val="8"/>
            <color indexed="8"/>
            <rFont val="Arial"/>
            <family val="2"/>
          </rPr>
          <t>Software engineers, architects, etc. had effective lobbyists. They are </t>
        </r>
        <r>
          <rPr>
            <b/>
            <i/>
            <sz val="8"/>
            <color indexed="8"/>
            <rFont val="Arial"/>
            <family val="2"/>
          </rPr>
          <t>not</t>
        </r>
        <r>
          <rPr>
            <i/>
            <sz val="8"/>
            <color indexed="8"/>
            <rFont val="Arial"/>
            <family val="2"/>
          </rPr>
          <t> an SSTB for QBID!</t>
        </r>
        <r>
          <rPr>
            <sz val="8"/>
            <color indexed="8"/>
            <rFont val="Arial"/>
            <family val="2"/>
          </rPr>
          <t xml:space="preserve">
or
</t>
        </r>
        <r>
          <rPr>
            <sz val="8"/>
            <color indexed="8"/>
            <rFont val="Arial"/>
            <family val="2"/>
          </rPr>
          <t>2. Any trade or business that involves the performance of services that consist of investing and investment management, trading, or dealing in securities described in Sec. 475(c)(2), partnership interests, or commodities described in Sec. 475(e)(2) (Sec. 199A(d)(2)(B)).
If you are unsure, it's more conservative to </t>
        </r>
        <r>
          <rPr>
            <u/>
            <sz val="8"/>
            <color indexed="8"/>
            <rFont val="Arial"/>
            <family val="2"/>
          </rPr>
          <t>leave as YES</t>
        </r>
        <r>
          <rPr>
            <sz val="8"/>
            <color indexed="8"/>
            <rFont val="Arial"/>
            <family val="2"/>
          </rPr>
          <t xml:space="preserve">.
</t>
        </r>
        <r>
          <rPr>
            <sz val="8"/>
            <color indexed="8"/>
            <rFont val="Arial"/>
            <family val="2"/>
          </rPr>
          <t xml:space="preserve">
</t>
        </r>
        <r>
          <rPr>
            <sz val="8"/>
            <color indexed="8"/>
            <rFont val="Arial"/>
            <family val="2"/>
          </rPr>
          <t xml:space="preserve">https://www.journalofaccountancy.com/issues/2018/may/sec-199a-deduction-for-qualified-business-income.html#:~:text=to%20the%20words%20%27-,engineering%2C%20architecture,-%2C%27)%20...%20or%20which%20involves
</t>
        </r>
      </text>
    </comment>
    <comment ref="F83" authorId="0" shapeId="0" xr:uid="{75A361CD-B37E-4A48-A8B0-E8C3BF4EE8F4}">
      <text>
        <r>
          <rPr>
            <sz val="8"/>
            <color indexed="81"/>
            <rFont val="Tahoma"/>
            <family val="2"/>
          </rPr>
          <t>Sample cell note.</t>
        </r>
      </text>
    </comment>
    <comment ref="B106" authorId="0" shapeId="0" xr:uid="{1E38E6E9-6DE9-4943-B15A-475929A37914}">
      <text>
        <r>
          <rPr>
            <sz val="8"/>
            <color indexed="81"/>
            <rFont val="Tahoma"/>
            <family val="2"/>
          </rPr>
          <t>This is the maximum tax rate applied to all income that is classified as long term investment income held longer than 12 months but less than 60 months.</t>
        </r>
      </text>
    </comment>
    <comment ref="B107" authorId="0" shapeId="0" xr:uid="{71E9CF26-3FDB-4585-8E83-5DAF8A146E0C}">
      <text>
        <r>
          <rPr>
            <sz val="8"/>
            <color indexed="81"/>
            <rFont val="Tahoma"/>
            <family val="2"/>
          </rPr>
          <t>This is the capital gains tax rate for assets acquired after 1/1/2001, which are then held for longer than 60 months.</t>
        </r>
      </text>
    </comment>
    <comment ref="B108" authorId="0" shapeId="0" xr:uid="{7F68AD04-AB58-4B03-9860-CD4B72BF8219}">
      <text>
        <r>
          <rPr>
            <sz val="8"/>
            <color indexed="81"/>
            <rFont val="Tahoma"/>
            <family val="2"/>
          </rPr>
          <t>This capital gains rate applies to high income earners who exceed the taxable income threshold.</t>
        </r>
      </text>
    </comment>
    <comment ref="B109" authorId="2" shapeId="0" xr:uid="{CEDCDF9E-6C0B-49A1-816C-D4691477DC15}">
      <text>
        <r>
          <rPr>
            <sz val="8"/>
            <color indexed="81"/>
            <rFont val="Tahoma"/>
            <family val="2"/>
          </rPr>
          <t>Taxable income in excess of this amount is taxed at the capital gains high income rate instead of the normal rate.</t>
        </r>
      </text>
    </comment>
    <comment ref="B110" authorId="0" shapeId="0" xr:uid="{DFF640CB-E740-49BE-9855-36C1544FD876}">
      <text>
        <r>
          <rPr>
            <sz val="8"/>
            <color indexed="81"/>
            <rFont val="Tahoma"/>
            <family val="2"/>
          </rPr>
          <t>Investment income surtax rate.</t>
        </r>
      </text>
    </comment>
    <comment ref="B111" authorId="0" shapeId="0" xr:uid="{1521B03F-F88D-49D2-AB33-492334616226}">
      <text>
        <r>
          <rPr>
            <sz val="8"/>
            <color indexed="81"/>
            <rFont val="Tahoma"/>
            <family val="2"/>
          </rPr>
          <t>Income over this amount is subject to capital gains and Medicare surtaxes.</t>
        </r>
      </text>
    </comment>
    <comment ref="B112" authorId="0" shapeId="0" xr:uid="{CF99A437-E8A9-490F-A498-0700E117617F}">
      <text>
        <r>
          <rPr>
            <sz val="8"/>
            <color indexed="81"/>
            <rFont val="Tahoma"/>
            <family val="2"/>
          </rPr>
          <t>This deduction is taken only if the itemized deductions listed are less than this amount.</t>
        </r>
      </text>
    </comment>
    <comment ref="B113" authorId="0" shapeId="0" xr:uid="{61E8C1E9-56B5-4CFC-B43B-AB98D74C0361}">
      <text>
        <r>
          <rPr>
            <sz val="8"/>
            <color indexed="81"/>
            <rFont val="Tahoma"/>
            <family val="2"/>
          </rPr>
          <t>This deduction adds to the standard deduction if blind and/or over 65.</t>
        </r>
      </text>
    </comment>
    <comment ref="B114" authorId="0" shapeId="0" xr:uid="{8E6E205C-89C3-4A13-9DD0-29FA20CF43F8}">
      <text>
        <r>
          <rPr>
            <sz val="8"/>
            <color indexed="81"/>
            <rFont val="Tahoma"/>
            <family val="2"/>
          </rPr>
          <t>This deduction comprises the income reduction amount per dependent claimed on the tax return.</t>
        </r>
      </text>
    </comment>
    <comment ref="B115" authorId="0" shapeId="0" xr:uid="{22309001-C9E6-4D47-AA62-45F70524250B}">
      <text>
        <r>
          <rPr>
            <sz val="8"/>
            <color indexed="81"/>
            <rFont val="Tahoma"/>
            <family val="2"/>
          </rPr>
          <t>This number is used solely as a divisor in  a ceiling function to compute a limitation on personal deductions.</t>
        </r>
      </text>
    </comment>
    <comment ref="B116" authorId="0" shapeId="0" xr:uid="{AA99DA4F-3FA8-4E51-BD0E-780612BF2380}">
      <text>
        <r>
          <rPr>
            <sz val="8"/>
            <color indexed="81"/>
            <rFont val="Tahoma"/>
            <family val="2"/>
          </rPr>
          <t>Any income above this amount causes personal deductions to be limited.</t>
        </r>
      </text>
    </comment>
    <comment ref="B117" authorId="0" shapeId="0" xr:uid="{CB065E07-B174-4B7A-92E2-26BA82056929}">
      <text>
        <r>
          <rPr>
            <sz val="8"/>
            <color indexed="81"/>
            <rFont val="Tahoma"/>
            <family val="2"/>
          </rPr>
          <t>This rate determines the amount of limitation allowed for claimed personal deductions.</t>
        </r>
      </text>
    </comment>
    <comment ref="B118" authorId="2" shapeId="0" xr:uid="{C4D0C823-5F2F-4061-8D5F-E7619F0B8418}">
      <text>
        <r>
          <rPr>
            <sz val="8"/>
            <color indexed="81"/>
            <rFont val="Tahoma"/>
            <family val="2"/>
          </rPr>
          <t>This is a maximum per-child tax credit and is automatically computed.</t>
        </r>
      </text>
    </comment>
    <comment ref="B119" authorId="2" shapeId="0" xr:uid="{44AD99AF-15CC-4AFE-AD19-A4A065D9C703}">
      <text>
        <r>
          <rPr>
            <sz val="8"/>
            <color indexed="81"/>
            <rFont val="Tahoma"/>
            <family val="2"/>
          </rPr>
          <t>Federal adjusted gross income over this amount causes the child tax credit to be limited.</t>
        </r>
      </text>
    </comment>
    <comment ref="B120" authorId="2" shapeId="0" xr:uid="{DA9F2C9E-570B-45AF-A1B7-5147DEB1786F}">
      <text>
        <r>
          <rPr>
            <sz val="8"/>
            <color indexed="81"/>
            <rFont val="Tahoma"/>
            <family val="2"/>
          </rPr>
          <t>Used soley in the computation of a limited child tax credit.</t>
        </r>
      </text>
    </comment>
    <comment ref="B122" authorId="0" shapeId="0" xr:uid="{23E9F967-E18B-4338-9068-1C74D0D8EEA2}">
      <text>
        <r>
          <rPr>
            <sz val="8"/>
            <color indexed="81"/>
            <rFont val="Tahoma"/>
            <family val="2"/>
          </rPr>
          <t>Any income above this amount causes the Schedule A deductions to be limited.</t>
        </r>
      </text>
    </comment>
    <comment ref="B123" authorId="0" shapeId="0" xr:uid="{410411FA-C27A-4516-A7DE-F494D0DC884F}">
      <text>
        <r>
          <rPr>
            <sz val="8"/>
            <color indexed="81"/>
            <rFont val="Tahoma"/>
            <family val="2"/>
          </rPr>
          <t>This rate determines the limitation in Schedule A deductions above a threshold income level.</t>
        </r>
      </text>
    </comment>
    <comment ref="B124" authorId="0" shapeId="0" xr:uid="{0449D677-F529-4E68-9E3C-67A1E3F6E163}">
      <text>
        <r>
          <rPr>
            <sz val="8"/>
            <color indexed="81"/>
            <rFont val="Tahoma"/>
            <family val="2"/>
          </rPr>
          <t>This rate determines the limitation in Schedule A deductions above a threshold income level.</t>
        </r>
      </text>
    </comment>
    <comment ref="B125" authorId="2" shapeId="0" xr:uid="{AE16C3F3-B8BF-4EBB-B2B7-1A454CA46EA4}">
      <text>
        <r>
          <rPr>
            <sz val="8"/>
            <color indexed="81"/>
            <rFont val="Tahoma"/>
            <family val="2"/>
          </rPr>
          <t>Used soley in the computation of a limited child tax credit.</t>
        </r>
      </text>
    </comment>
    <comment ref="B126" authorId="0" shapeId="0" xr:uid="{4C097983-BC15-42A9-B958-586532F22DD5}">
      <text>
        <r>
          <rPr>
            <sz val="8"/>
            <color indexed="81"/>
            <rFont val="Tahoma"/>
            <family val="2"/>
          </rPr>
          <t>Schedule C income is subject to both FICA and medicare tax.  This tax rate is the medicare portion owed on all Schedule C income.</t>
        </r>
      </text>
    </comment>
    <comment ref="B127" authorId="0" shapeId="0" xr:uid="{4DE200A4-7F25-48C8-B72A-702E873C8991}">
      <text>
        <r>
          <rPr>
            <sz val="8"/>
            <color indexed="81"/>
            <rFont val="Tahoma"/>
            <family val="2"/>
          </rPr>
          <t>This income rate limitation applies to Schedule C income for the purposes of computing FICA and medicare tax owed.</t>
        </r>
      </text>
    </comment>
    <comment ref="B128" authorId="0" shapeId="0" xr:uid="{44B6DEBA-6539-4F0C-AF7C-B140C6EB62FB}">
      <text>
        <r>
          <rPr>
            <sz val="8"/>
            <color indexed="81"/>
            <rFont val="Tahoma"/>
            <family val="2"/>
          </rPr>
          <t>This denotes the maximum medicare tax owed.  An amount of zero (0.00) indicates that there is no maximum tax.</t>
        </r>
      </text>
    </comment>
    <comment ref="B129" authorId="0" shapeId="0" xr:uid="{44E68434-C960-4681-A984-ABFB6902A8FB}">
      <text>
        <r>
          <rPr>
            <sz val="8"/>
            <color indexed="81"/>
            <rFont val="Tahoma"/>
            <family val="2"/>
          </rPr>
          <t>Federal Medicare tax rate applied to W2 income sources (one half of the SE tax rate).</t>
        </r>
      </text>
    </comment>
    <comment ref="B130" authorId="0" shapeId="0" xr:uid="{B2CBAE4D-0BA6-4FA0-BDD7-CCCF86B3F2A9}">
      <text>
        <r>
          <rPr>
            <sz val="8"/>
            <color indexed="81"/>
            <rFont val="Tahoma"/>
            <family val="2"/>
          </rPr>
          <t>Federal Medicare surtax rate for income exceeding the ACA Surtax Cliff amount.</t>
        </r>
      </text>
    </comment>
    <comment ref="B131" authorId="0" shapeId="0" xr:uid="{DACC9F2A-F0F9-4B90-9461-3A8C4562C6FB}">
      <text>
        <r>
          <rPr>
            <sz val="8"/>
            <color indexed="81"/>
            <rFont val="Tahoma"/>
            <family val="2"/>
          </rPr>
          <t>This tax rate is used in computing Schedule C income FICA tax owed.</t>
        </r>
      </text>
    </comment>
    <comment ref="B132" authorId="0" shapeId="0" xr:uid="{A6EA2DBE-05ED-49E9-BE73-34B108EB1469}">
      <text>
        <r>
          <rPr>
            <sz val="8"/>
            <color indexed="81"/>
            <rFont val="Tahoma"/>
            <family val="2"/>
          </rPr>
          <t>This is the maximum FICA tax owed by all sources of income earned.  0.00 indicates that there is no maximum tax ceiling.</t>
        </r>
      </text>
    </comment>
    <comment ref="B133" authorId="0" shapeId="0" xr:uid="{40202336-4996-4BCE-8DDF-D491241F88E9}">
      <text>
        <r>
          <rPr>
            <sz val="8"/>
            <color indexed="81"/>
            <rFont val="Tahoma"/>
            <family val="2"/>
          </rPr>
          <t>Maximum income level subject to FICA tax.  An amount specified as zero (0.00) means that there is no maximum income limitation.</t>
        </r>
      </text>
    </comment>
    <comment ref="B134" authorId="0" shapeId="0" xr:uid="{AE5B370A-EAB9-44FD-8037-7F43EF3FD991}">
      <text>
        <r>
          <rPr>
            <sz val="8"/>
            <color indexed="81"/>
            <rFont val="Tahoma"/>
            <family val="2"/>
          </rPr>
          <t>SE tax is not owed if the income (after applying the SE income limitation rate) is less than this amount.</t>
        </r>
      </text>
    </comment>
    <comment ref="B135" authorId="0" shapeId="0" xr:uid="{8D364EC9-45A5-4900-9D5C-9C9120773D2E}">
      <text>
        <r>
          <rPr>
            <sz val="8"/>
            <color indexed="81"/>
            <rFont val="Tahoma"/>
            <family val="2"/>
          </rPr>
          <t>FICA tax rate applied to W2 income sources (one half of the SE tax rate).</t>
        </r>
      </text>
    </comment>
    <comment ref="B136" authorId="0" shapeId="0" xr:uid="{4519F267-2F2C-43C8-962E-2B40BFFE947F}">
      <text>
        <r>
          <rPr>
            <sz val="8"/>
            <color indexed="81"/>
            <rFont val="Tahoma"/>
            <family val="2"/>
          </rPr>
          <t>SE income used to pay for health insurance premiums are deductable at this rate.</t>
        </r>
      </text>
    </comment>
    <comment ref="B137" authorId="0" shapeId="0" xr:uid="{E61C86E0-682A-48EC-8F6F-4BE7F5B14672}">
      <text>
        <r>
          <rPr>
            <sz val="8"/>
            <color indexed="81"/>
            <rFont val="Tahoma"/>
            <family val="2"/>
          </rPr>
          <t>Maximum amount of stock and mutual fund losses allowed in one year.</t>
        </r>
      </text>
    </comment>
    <comment ref="B144" authorId="2" shapeId="0" xr:uid="{0DE9B0DF-1E23-41A1-A79C-7BF9B99CEF15}">
      <text>
        <r>
          <rPr>
            <sz val="8"/>
            <color indexed="81"/>
            <rFont val="Tahoma"/>
            <family val="2"/>
          </rPr>
          <t>The federal 2020 CARES act allows unlimited charitable contributions through 2021.  In future years, at most 60% of your federal AGI for cash and noncash contributions are deductable.  See IRS publication 526 for details of this limit as well as further limits that may apply to your tax situation.</t>
        </r>
      </text>
    </comment>
    <comment ref="B145" authorId="2" shapeId="0" xr:uid="{E4398852-BB30-433B-86CB-FB162B9A63A0}">
      <text>
        <r>
          <rPr>
            <sz val="8"/>
            <color indexed="81"/>
            <rFont val="Tahoma"/>
            <family val="2"/>
          </rPr>
          <t>Starting in 2026, charitable contributions must exceed 0.5% AGI for filers who claim the itemized deduction.</t>
        </r>
      </text>
    </comment>
    <comment ref="B146" authorId="2" shapeId="0" xr:uid="{96EDAF6C-5833-44A3-B42E-039F7DF2A723}">
      <text>
        <r>
          <rPr>
            <sz val="9"/>
            <color indexed="81"/>
            <rFont val="Tahoma"/>
            <family val="2"/>
          </rPr>
          <t>Starting in 2026, highest bracket filers have their charitable contributions limited by this amount.</t>
        </r>
      </text>
    </comment>
    <comment ref="B147" authorId="2" shapeId="0" xr:uid="{4A6043F5-F683-477B-99C7-F5BEAACC27CA}">
      <text>
        <r>
          <rPr>
            <sz val="9"/>
            <color indexed="81"/>
            <rFont val="Tahoma"/>
            <family val="2"/>
          </rPr>
          <t>Starting in 2026, non-itemizers can deduct up to this amount in charitable giving.</t>
        </r>
      </text>
    </comment>
    <comment ref="B161" authorId="3" shapeId="0" xr:uid="{367E9FA7-D2E0-455B-9827-CF7B72BFAFDB}">
      <text>
        <r>
          <rPr>
            <sz val="10"/>
            <color indexed="8"/>
            <rFont val="Tahoma"/>
            <family val="2"/>
          </rPr>
          <t xml:space="preserve">QBI (qualified business income) from SSTBs is subject to a limitation and phaseout for the calculation of the QBI Deduction. 
</t>
        </r>
        <r>
          <rPr>
            <sz val="10"/>
            <color indexed="8"/>
            <rFont val="Tahoma"/>
            <family val="2"/>
          </rPr>
          <t xml:space="preserve">
</t>
        </r>
        <r>
          <rPr>
            <sz val="10"/>
            <color indexed="8"/>
            <rFont val="Tahoma"/>
            <family val="2"/>
          </rPr>
          <t xml:space="preserve">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
</t>
        </r>
      </text>
    </comment>
    <comment ref="B162" authorId="3" shapeId="0" xr:uid="{B95DDCDE-DB71-42A5-B1D2-E0D419EA74BE}">
      <text>
        <r>
          <rPr>
            <sz val="10"/>
            <color indexed="8"/>
            <rFont val="Tahoma"/>
            <family val="2"/>
          </rPr>
          <t xml:space="preserve">see note above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Geoffrey O. Mendal</author>
    <author>mendal</author>
    <author>Geoff Mendal</author>
    <author>cai</author>
  </authors>
  <commentList>
    <comment ref="B21" authorId="0" shapeId="0" xr:uid="{0C01CF73-4DB6-4D04-8DAD-336F321987F2}">
      <text>
        <r>
          <rPr>
            <sz val="8"/>
            <color indexed="81"/>
            <rFont val="Tahoma"/>
            <family val="2"/>
          </rPr>
          <t>W2 income from your primary job.</t>
        </r>
      </text>
    </comment>
    <comment ref="N21" authorId="0" shapeId="0" xr:uid="{CFCFE89E-A74E-43AE-8471-C2A1D6F460E6}">
      <text>
        <r>
          <rPr>
            <sz val="8"/>
            <color indexed="81"/>
            <rFont val="Tahoma"/>
            <family val="2"/>
          </rPr>
          <t>These are the adjustments and preferences that are computed automatically from your federal income and expense entries.</t>
        </r>
      </text>
    </comment>
    <comment ref="B22" authorId="0" shapeId="0" xr:uid="{09441EC5-AFE1-4356-AE5C-56A799E9DC9F}">
      <text>
        <r>
          <rPr>
            <sz val="8"/>
            <color indexed="81"/>
            <rFont val="Tahoma"/>
            <family val="2"/>
          </rPr>
          <t>W2 income from your second job.</t>
        </r>
      </text>
    </comment>
    <comment ref="F22" authorId="0" shapeId="0" xr:uid="{0D678A70-D559-4E78-BBF0-3EDF12620008}">
      <text>
        <r>
          <rPr>
            <sz val="8"/>
            <color indexed="81"/>
            <rFont val="Tahoma"/>
            <family val="2"/>
          </rPr>
          <t>Enter your state income tax liability here.  You may also include state sales taxes paid.</t>
        </r>
      </text>
    </comment>
    <comment ref="N22" authorId="0" shapeId="0" xr:uid="{70F444E8-9A1C-4D01-85BA-EE53F0DE1042}">
      <text>
        <r>
          <rPr>
            <sz val="8"/>
            <color indexed="81"/>
            <rFont val="Tahoma"/>
            <family val="2"/>
          </rPr>
          <t>Additional adjustments and preferences can be totaled here as required.  For example, incentive stock options can be added as an adjustment in this cell.</t>
        </r>
      </text>
    </comment>
    <comment ref="B23" authorId="0" shapeId="0" xr:uid="{FEC4D769-4B4C-44FE-9F55-CF052925D8AD}">
      <text>
        <r>
          <rPr>
            <sz val="8"/>
            <color indexed="81"/>
            <rFont val="Tahoma"/>
            <family val="2"/>
          </rPr>
          <t>Schedule C income.  SE tax is computed using this income.</t>
        </r>
      </text>
    </comment>
    <comment ref="F23" authorId="0" shapeId="0" xr:uid="{5D4B0370-F826-4C46-B160-4E08D28F7223}">
      <text>
        <r>
          <rPr>
            <sz val="8"/>
            <color indexed="81"/>
            <rFont val="Tahoma"/>
            <family val="2"/>
          </rPr>
          <t>Any local or city income taxes other than state income tax go here.</t>
        </r>
      </text>
    </comment>
    <comment ref="N23" authorId="0" shapeId="0" xr:uid="{94ABA993-1DD4-489D-B8A1-CE8D951C8074}">
      <text>
        <r>
          <rPr>
            <sz val="8"/>
            <color indexed="81"/>
            <rFont val="Tahoma"/>
            <family val="2"/>
          </rPr>
          <t>If this cell value is 0, normal capital gains basis will be used when computing AMT.  Use this cell to override this behavior by establishing a dual-basis of capital gains for AMT purposes.</t>
        </r>
      </text>
    </comment>
    <comment ref="B24" authorId="0" shapeId="0" xr:uid="{A038B6A2-042B-48DF-AA0C-4A73D1151C27}">
      <text>
        <r>
          <rPr>
            <sz val="8"/>
            <color indexed="81"/>
            <rFont val="Tahoma"/>
            <family val="2"/>
          </rPr>
          <t>Savings account interest earned.</t>
        </r>
      </text>
    </comment>
    <comment ref="F24" authorId="0" shapeId="0" xr:uid="{49483B5C-F8DD-4D73-BCBF-09F9AB78D752}">
      <text>
        <r>
          <rPr>
            <sz val="8"/>
            <color indexed="81"/>
            <rFont val="Tahoma"/>
            <family val="2"/>
          </rPr>
          <t>This amount designates taxes owed for prior years paid in this year.</t>
        </r>
      </text>
    </comment>
    <comment ref="N24" authorId="0" shapeId="0" xr:uid="{DF48CEC4-9EE3-480A-A88F-11E3BEA44642}">
      <text>
        <r>
          <rPr>
            <sz val="8"/>
            <color indexed="81"/>
            <rFont val="Tahoma"/>
            <family val="2"/>
          </rPr>
          <t>This is your taxable income for the purposes of computing the AMT.</t>
        </r>
      </text>
    </comment>
    <comment ref="B25" authorId="0" shapeId="0" xr:uid="{1414F703-7434-4283-BD48-390F7F8641F4}">
      <text>
        <r>
          <rPr>
            <sz val="8"/>
            <color indexed="81"/>
            <rFont val="Tahoma"/>
            <family val="2"/>
          </rPr>
          <t>Savings account interest earned.</t>
        </r>
      </text>
    </comment>
    <comment ref="N25" authorId="0" shapeId="0" xr:uid="{73ACE238-DB92-4890-B9BC-A9F6F39C0D72}">
      <text>
        <r>
          <rPr>
            <sz val="8"/>
            <color indexed="81"/>
            <rFont val="Tahoma"/>
            <family val="2"/>
          </rPr>
          <t>This is the computed exemption amount allowed by the AMT.</t>
        </r>
      </text>
    </comment>
    <comment ref="B26" authorId="0" shapeId="0" xr:uid="{8507A1F1-C37C-4C60-B60D-8F1AEBDEC020}">
      <text>
        <r>
          <rPr>
            <sz val="8"/>
            <color indexed="81"/>
            <rFont val="Tahoma"/>
            <family val="2"/>
          </rPr>
          <t>Money market account interest earned.</t>
        </r>
      </text>
    </comment>
    <comment ref="F26" authorId="0" shapeId="0" xr:uid="{F0B23DB5-6059-47BE-A7F9-645C21B4A5CD}">
      <text>
        <r>
          <rPr>
            <sz val="8"/>
            <color indexed="81"/>
            <rFont val="Tahoma"/>
            <family val="2"/>
          </rPr>
          <t>This amount includes taxes paid on personal property such as the taxable portion of automobile license and registration.</t>
        </r>
      </text>
    </comment>
    <comment ref="N26" authorId="0" shapeId="0" xr:uid="{8DDB6D91-756B-41A3-B1ED-B46BE341571A}">
      <text>
        <r>
          <rPr>
            <sz val="8"/>
            <color indexed="81"/>
            <rFont val="Tahoma"/>
            <family val="2"/>
          </rPr>
          <t>This is the amount of income subject to the AMT computation.</t>
        </r>
      </text>
    </comment>
    <comment ref="B27" authorId="0" shapeId="0" xr:uid="{1CA14912-14E8-4C23-88B0-C184681E0A0E}">
      <text>
        <r>
          <rPr>
            <sz val="8"/>
            <color indexed="81"/>
            <rFont val="Tahoma"/>
            <family val="2"/>
          </rPr>
          <t>Money market account interest earned.</t>
        </r>
      </text>
    </comment>
    <comment ref="F27" authorId="0" shapeId="0" xr:uid="{6B4B3B9F-0F7E-4F8D-89B5-98256D697093}">
      <text>
        <r>
          <rPr>
            <sz val="8"/>
            <color indexed="81"/>
            <rFont val="Tahoma"/>
            <family val="2"/>
          </rPr>
          <t>Generally, points paid when purchasing a new home are deductable in full, while points paid for a refinance must be amortized over the life of the loan.</t>
        </r>
      </text>
    </comment>
    <comment ref="N27" authorId="0" shapeId="0" xr:uid="{C4554C2E-60AD-48F1-958C-999E7BF4B88D}">
      <text>
        <r>
          <rPr>
            <sz val="8"/>
            <color indexed="81"/>
            <rFont val="Tahoma"/>
            <family val="2"/>
          </rPr>
          <t>This is the computed AMT amount.</t>
        </r>
      </text>
    </comment>
    <comment ref="B28" authorId="0" shapeId="0" xr:uid="{7D97CF82-F649-4982-8532-2D4B6090C4E9}">
      <text>
        <r>
          <rPr>
            <sz val="8"/>
            <color indexed="81"/>
            <rFont val="Tahoma"/>
            <family val="2"/>
          </rPr>
          <t>Interest from US treasury bills, notes, and bonds.  Federal only taxable social security income can also be placed here.</t>
        </r>
      </text>
    </comment>
    <comment ref="J28" authorId="1" shapeId="0" xr:uid="{EDE7E1F5-0B0A-4973-9546-2F330030DBB5}">
      <text>
        <r>
          <rPr>
            <sz val="9"/>
            <color indexed="81"/>
            <rFont val="Tahoma"/>
            <family val="2"/>
          </rPr>
          <t>The percentage computed for tax due divided by taxable income.</t>
        </r>
      </text>
    </comment>
    <comment ref="N28" authorId="0" shapeId="0" xr:uid="{367909BC-C19E-4E7A-B43A-D4BF46BA841B}">
      <text>
        <r>
          <rPr>
            <sz val="8"/>
            <color indexed="81"/>
            <rFont val="Tahoma"/>
            <family val="2"/>
          </rPr>
          <t>Use this cell to enter dollar-for-dollar tax credits against the AMT.  For example, the foreign tax credit.</t>
        </r>
      </text>
    </comment>
    <comment ref="B29" authorId="0" shapeId="0" xr:uid="{248B6257-867A-4E7D-BC0A-D7A672FEDB54}">
      <text>
        <r>
          <rPr>
            <sz val="8"/>
            <color indexed="81"/>
            <rFont val="Tahoma"/>
            <family val="2"/>
          </rPr>
          <t>Stock and fund dividends that qualify for the long-term capital gains tax rate appear here.</t>
        </r>
      </text>
    </comment>
    <comment ref="F29" authorId="0" shapeId="0" xr:uid="{071D6971-F711-4DE2-BEF7-597870457627}">
      <text>
        <r>
          <rPr>
            <sz val="8"/>
            <color indexed="81"/>
            <rFont val="Tahoma"/>
            <family val="2"/>
          </rPr>
          <t>If this amount is over $500, then form 8283 must be filed with the return.  If any single donation comprising this amount is over $500, then more parts of form 8283 will be required to be filled out.</t>
        </r>
      </text>
    </comment>
    <comment ref="N29" authorId="0" shapeId="0" xr:uid="{DCD357F9-F12A-46A6-A29B-07835E2C10E7}">
      <text>
        <r>
          <rPr>
            <sz val="8"/>
            <color indexed="81"/>
            <rFont val="Tahoma"/>
            <family val="2"/>
          </rPr>
          <t>This is the additional tax owed, if any, as a result of the AMT.  If the computed AMT tax is less than the normal income tax, then this value will be zero (no AMT is due).</t>
        </r>
      </text>
    </comment>
    <comment ref="B30" authorId="0" shapeId="0" xr:uid="{47CD0846-0B41-40DC-9D45-54DBB98FDCC5}">
      <text>
        <r>
          <rPr>
            <sz val="8"/>
            <color indexed="81"/>
            <rFont val="Tahoma"/>
            <family val="2"/>
          </rPr>
          <t>Stock and fund distributions that are  subject to short term income tax rate appear here.  It is acceptable to match short-term losses here, as long as the end result is 0 or greater.  If your losses exceed your gains, specify the net loss in lieu of gains below.</t>
        </r>
      </text>
    </comment>
    <comment ref="F30" authorId="0" shapeId="0" xr:uid="{500F403B-AB28-412C-BF79-457AE8F77D1B}">
      <text>
        <r>
          <rPr>
            <sz val="8"/>
            <color indexed="81"/>
            <rFont val="Tahoma"/>
            <family val="2"/>
          </rPr>
          <t>Use this amount to compute deductions that are not listed above.  For example, qualified casualty losses  can be included in this figure.</t>
        </r>
      </text>
    </comment>
    <comment ref="B31" authorId="0" shapeId="0" xr:uid="{91464BDF-D254-4645-95C9-5A860978358A}">
      <text>
        <r>
          <rPr>
            <sz val="8"/>
            <color indexed="81"/>
            <rFont val="Tahoma"/>
            <family val="2"/>
          </rPr>
          <t>Stock and fund distributions that are  subject to long term capital gains tax rate appear here.  It is acceptable to match long-term losses here, as long as the end result is 0 or greater.  If your losses exceed your gains, specify the net loss in lieu of gains below.</t>
        </r>
      </text>
    </comment>
    <comment ref="F31" authorId="0" shapeId="0" xr:uid="{EA96650D-F084-4DE2-8FEC-B3588D49095B}">
      <text>
        <r>
          <rPr>
            <sz val="8"/>
            <color indexed="81"/>
            <rFont val="Tahoma"/>
            <family val="2"/>
          </rPr>
          <t>Enter all medical and dental expenses here.  The actual amount allowed will be computed above the 7.5% adjusted gross income threshold.</t>
        </r>
      </text>
    </comment>
    <comment ref="B32" authorId="0" shapeId="0" xr:uid="{9D67513C-E07E-47F2-A63D-375A789E2D1B}">
      <text>
        <r>
          <rPr>
            <sz val="8"/>
            <color indexed="81"/>
            <rFont val="Tahoma"/>
            <family val="2"/>
          </rPr>
          <t>Stock/fund distributions that are subject to the 60 month cap gains tax rate appear here.  This rate goes into effect for purchases made after 1/1/2001, and so the value here should be 0.00.</t>
        </r>
      </text>
    </comment>
    <comment ref="F32" authorId="0" shapeId="0" xr:uid="{E42C544B-516F-4FE8-A4A0-B232C658737E}">
      <text>
        <r>
          <rPr>
            <sz val="8"/>
            <color indexed="81"/>
            <rFont val="Tahoma"/>
            <family val="2"/>
          </rPr>
          <t>Starting in 2018, the 2% deduction has been eliminated so this value should remain as 0.
Enter all deductions here which will then be computed against a 2% threshold over adjusted gross income.  Examples of such deductions include unreimbursed employee expenses, tax preparation fees, investment expenses, and safe deposit box expenses.</t>
        </r>
      </text>
    </comment>
    <comment ref="B33" authorId="0" shapeId="0" xr:uid="{E68A3C25-7ADB-4708-840F-7C406AD496E7}">
      <text>
        <r>
          <rPr>
            <sz val="8"/>
            <color indexed="81"/>
            <rFont val="Tahoma"/>
            <family val="2"/>
          </rPr>
          <t>Prior year state tax refund appears here assuming that last year's tax return claimed the state taxes on Federal Schedule A.</t>
        </r>
      </text>
    </comment>
    <comment ref="B34" authorId="0" shapeId="0" xr:uid="{DB46FB1F-5059-41E2-838D-48F3A678F8C5}">
      <text>
        <r>
          <rPr>
            <sz val="8"/>
            <color indexed="81"/>
            <rFont val="Tahoma"/>
            <family val="2"/>
          </rPr>
          <t>Use this amount to capture any federal and state taxable income not accounted for in the above choices.  Examples include royalties, gambling winnings, pensions, alimony, social security income which is not state tax free, and IRA distributions.</t>
        </r>
      </text>
    </comment>
    <comment ref="B35" authorId="0" shapeId="0" xr:uid="{18FA5DB3-8891-40F4-AD50-B6E3B135BCAF}">
      <text>
        <r>
          <rPr>
            <sz val="8"/>
            <color indexed="8"/>
            <rFont val="Tahoma"/>
            <family val="2"/>
          </rPr>
          <t>Used in determining QBI deductions</t>
        </r>
      </text>
    </comment>
    <comment ref="B36" authorId="0" shapeId="0" xr:uid="{CF120340-BF34-44C9-80BD-76B79B7191CC}">
      <text>
        <r>
          <rPr>
            <sz val="8"/>
            <color indexed="8"/>
            <rFont val="Tahoma"/>
            <family val="2"/>
          </rPr>
          <t>Income for QBI purposes</t>
        </r>
      </text>
    </comment>
    <comment ref="F37" authorId="0" shapeId="0" xr:uid="{B69D29B9-0832-4697-A816-DE696C46659B}">
      <text>
        <r>
          <rPr>
            <sz val="8"/>
            <color indexed="81"/>
            <rFont val="Tahoma"/>
            <family val="2"/>
          </rPr>
          <t>Incomes over a certain threshold are subject to having their Schedule A deductions limited by this amount.</t>
        </r>
      </text>
    </comment>
    <comment ref="F38" authorId="0" shapeId="0" xr:uid="{0ABEA681-2B21-4E96-8269-7A8F82EC327C}">
      <text>
        <r>
          <rPr>
            <sz val="8"/>
            <color indexed="81"/>
            <rFont val="Tahoma"/>
            <family val="2"/>
          </rPr>
          <t>The computed amount is the greater of the itemized deductions minus any limitation or that of the standard deduction.</t>
        </r>
      </text>
    </comment>
    <comment ref="F40" authorId="0" shapeId="0" xr:uid="{59C51909-68E9-485D-A467-FFBFE6546D3C}">
      <text>
        <r>
          <rPr>
            <sz val="8"/>
            <color indexed="81"/>
            <rFont val="Tahoma"/>
            <family val="2"/>
          </rPr>
          <t>Computed automatically as the per dependent amount multiplied by the number of dependents (including oneself).</t>
        </r>
      </text>
    </comment>
    <comment ref="B41" authorId="0" shapeId="0" xr:uid="{AA27375C-C753-414F-ACE1-74642B03EA81}">
      <text>
        <r>
          <rPr>
            <sz val="8"/>
            <color indexed="81"/>
            <rFont val="Tahoma"/>
            <family val="2"/>
          </rPr>
          <t>Business expenses taken against Schedule C income are deducted here.</t>
        </r>
      </text>
    </comment>
    <comment ref="F41" authorId="0" shapeId="0" xr:uid="{F1795F9B-F08E-4549-82D7-B46040EA4A2E}">
      <text>
        <r>
          <rPr>
            <sz val="8"/>
            <color indexed="81"/>
            <rFont val="Tahoma"/>
            <family val="2"/>
          </rPr>
          <t>Incomes over a certain threshold are subject to having their personal deductions limited by this amount.</t>
        </r>
      </text>
    </comment>
    <comment ref="B42" authorId="0" shapeId="0" xr:uid="{94E64753-326D-48CE-9BEC-B64DB93C491E}">
      <text>
        <r>
          <rPr>
            <sz val="8"/>
            <color indexed="81"/>
            <rFont val="Tahoma"/>
            <family val="2"/>
          </rPr>
          <t>Automatically computed from SE tax calculation.  1/2 of this tax is allowed as a deduction from Federal income.</t>
        </r>
      </text>
    </comment>
    <comment ref="B43" authorId="0" shapeId="0" xr:uid="{A4A5F39D-2E82-43C6-9729-F4ADED42BCD3}">
      <text>
        <r>
          <rPr>
            <sz val="8"/>
            <color indexed="81"/>
            <rFont val="Tahoma"/>
            <family val="2"/>
          </rPr>
          <t>A certain percentage (see below) of health insurance premiums are deductable if paid against Schedule C generated income.  Enter your total premiums here and the appropriate percentage will be taken in the total below.</t>
        </r>
      </text>
    </comment>
    <comment ref="B44" authorId="0" shapeId="0" xr:uid="{978685A4-751B-42ED-B9DF-EE4FD2A0558A}">
      <text>
        <r>
          <rPr>
            <sz val="8"/>
            <color indexed="81"/>
            <rFont val="Tahoma"/>
            <family val="2"/>
          </rPr>
          <t>Enter the amount of any IRS cafeteria plan contributions that are allowed as income tax deductions and exempt from FICA and Medicare taxes.</t>
        </r>
      </text>
    </comment>
    <comment ref="F44" authorId="0" shapeId="0" xr:uid="{F71AB233-F323-4765-9ED1-EB4D1DFAF627}">
      <text>
        <r>
          <rPr>
            <sz val="8"/>
            <color indexed="81"/>
            <rFont val="Tahoma"/>
            <family val="2"/>
          </rPr>
          <t>Qualified business income deduction per Schedule 199A.  For instructions on what value to enter here, see IRS Publication 535.
Starting in calendar year 2020, the Federal CARES Act allows an above the line maximum of $300 in charitable contributions for non-itemized filers ($600 for married joint filers), a portion of which can appear here.</t>
        </r>
      </text>
    </comment>
    <comment ref="B46" authorId="0" shapeId="0" xr:uid="{8EA7A374-28F9-44D0-85EA-5753B76D1FED}">
      <text>
        <r>
          <rPr>
            <sz val="8"/>
            <color indexed="81"/>
            <rFont val="Tahoma"/>
            <family val="2"/>
          </rPr>
          <t>Other types of deductions not accounted for above can appear here.  Examples include deductable IRA/401(k)/Keogh/SEP/SIMPLE contributions, medical savings account (MSA) deductions, qualified moving expenses, and alimony paid.</t>
        </r>
      </text>
    </comment>
    <comment ref="F49" authorId="0" shapeId="0" xr:uid="{222F5E30-7C99-44E4-BAED-F4A0146F2EE4}">
      <text>
        <r>
          <rPr>
            <sz val="8"/>
            <color indexed="81"/>
            <rFont val="Tahoma"/>
            <family val="2"/>
          </rPr>
          <t>This computation provides the income tax owed on the taxable income computed.</t>
        </r>
      </text>
    </comment>
    <comment ref="F50" authorId="0" shapeId="0" xr:uid="{7F608AF8-5ADE-47CB-9FE4-3257FE522CDD}">
      <text>
        <r>
          <rPr>
            <sz val="8"/>
            <color indexed="81"/>
            <rFont val="Tahoma"/>
            <family val="2"/>
          </rPr>
          <t>Other types of taxes not accounted for above can appear here.  Examples include early withdrawal penalties on reitrement account savings.</t>
        </r>
      </text>
    </comment>
    <comment ref="F51" authorId="0" shapeId="0" xr:uid="{6F181B13-8E89-432F-B54F-DFB3AD0D722F}">
      <text>
        <r>
          <rPr>
            <sz val="8"/>
            <color indexed="81"/>
            <rFont val="Tahoma"/>
            <family val="2"/>
          </rPr>
          <t>Medicare tax withheld from W2 income sources.</t>
        </r>
      </text>
    </comment>
    <comment ref="F52" authorId="0" shapeId="0" xr:uid="{20B34A0D-E08F-47B3-8359-577FA2824854}">
      <text>
        <r>
          <rPr>
            <sz val="8"/>
            <color indexed="81"/>
            <rFont val="Tahoma"/>
            <family val="2"/>
          </rPr>
          <t>Medicare surtax withheld affecting high income earners regardless of filing status.  This amount applies to earned income streams (W-2 and Schedule C).</t>
        </r>
      </text>
    </comment>
    <comment ref="F53" authorId="1" shapeId="0" xr:uid="{F6C73350-FBCA-4F45-AC3B-68F54A9AAA07}">
      <text>
        <r>
          <rPr>
            <sz val="9"/>
            <color indexed="81"/>
            <rFont val="Tahoma"/>
            <family val="2"/>
          </rPr>
          <t>Medicare surtax affecting high income earners regardless of filing status.  This amount applies to the lesser of MAPI and NII exceeding the threshold.  This amount is NOT withheld.</t>
        </r>
      </text>
    </comment>
    <comment ref="F54" authorId="0" shapeId="0" xr:uid="{C8B7D872-F348-4BF7-AE68-C0808BFF6040}">
      <text>
        <r>
          <rPr>
            <sz val="8"/>
            <color indexed="81"/>
            <rFont val="Tahoma"/>
            <family val="2"/>
          </rPr>
          <t>This computation provides the amount of FICA tax automatically withheld from W2 income.  It does not result in additional taxes owed, but may result in an overpayment of maximum FICA tax if more than one W2 income source exists.</t>
        </r>
      </text>
    </comment>
    <comment ref="F55" authorId="0" shapeId="0" xr:uid="{DD0C34D9-3CE9-4F96-B314-08C3C849A45B}">
      <text>
        <r>
          <rPr>
            <sz val="8"/>
            <color indexed="81"/>
            <rFont val="Tahoma"/>
            <family val="2"/>
          </rPr>
          <t>FICA overpayments can result from having more than one W2 income source.   This computation provides the overpayment amount, if any, which then reduces the taxes owed.</t>
        </r>
      </text>
    </comment>
    <comment ref="B56" authorId="2" shapeId="0" xr:uid="{2E34428F-7A60-45B1-AA30-A620DDF6C46A}">
      <text>
        <r>
          <rPr>
            <sz val="8"/>
            <color indexed="81"/>
            <rFont val="Tahoma"/>
            <family val="2"/>
          </rPr>
          <t>This is the net amount of qualified income subject to the capital gains rate tax.</t>
        </r>
      </text>
    </comment>
    <comment ref="B57" authorId="0" shapeId="0" xr:uid="{433F4297-762F-4BAB-AA94-06133C2A7E25}">
      <text>
        <r>
          <rPr>
            <sz val="8"/>
            <color indexed="81"/>
            <rFont val="Tahoma"/>
            <family val="2"/>
          </rPr>
          <t>This is the threshold of adjusted gross income that must be absorbed by medical/dental deductions.</t>
        </r>
      </text>
    </comment>
    <comment ref="F57" authorId="0" shapeId="0" xr:uid="{3F5350B1-0D5F-4847-B9FF-D7143DD5D250}">
      <text>
        <r>
          <rPr>
            <sz val="8"/>
            <color indexed="81"/>
            <rFont val="Tahoma"/>
            <family val="2"/>
          </rPr>
          <t>This computation provides the amount of FICA tax owed on Schedule C income.  It takes into account any W2 income earned up to the maximum FICA amount.</t>
        </r>
      </text>
    </comment>
    <comment ref="B58" authorId="0" shapeId="0" xr:uid="{070422A2-3103-4D06-B0CD-BDEE84479407}">
      <text>
        <r>
          <rPr>
            <sz val="8"/>
            <color indexed="81"/>
            <rFont val="Tahoma"/>
            <family val="2"/>
          </rPr>
          <t>This is the threshold of adjusted gross income that must be absorbed by miscellaneous deductions.</t>
        </r>
      </text>
    </comment>
    <comment ref="F58" authorId="0" shapeId="0" xr:uid="{3F361094-D294-49AE-9F08-33032FC5E41E}">
      <text>
        <r>
          <rPr>
            <sz val="8"/>
            <color indexed="81"/>
            <rFont val="Tahoma"/>
            <family val="2"/>
          </rPr>
          <t>This computation provides the medicare tax owed on Schedule C income.</t>
        </r>
      </text>
    </comment>
    <comment ref="B59" authorId="0" shapeId="0" xr:uid="{3CFD0858-290D-448D-9E2A-887AC60FB0C6}">
      <text>
        <r>
          <rPr>
            <sz val="8"/>
            <color indexed="81"/>
            <rFont val="Tahoma"/>
            <family val="2"/>
          </rPr>
          <t>This is the computed amount of allowed medical and miscellaneous deductions beyond the threshold limitations of Federal Schedule A.</t>
        </r>
      </text>
    </comment>
    <comment ref="B60" authorId="2" shapeId="0" xr:uid="{406171C6-09E3-42B9-AFFF-A0B3FAF91094}">
      <text>
        <r>
          <rPr>
            <sz val="8"/>
            <color indexed="81"/>
            <rFont val="Tahoma"/>
            <family val="2"/>
          </rPr>
          <t>This is the amount of cash and noncash donations made which are allowed as deductions.  At a minimum, donations are limited to 50% of federal AGI.</t>
        </r>
      </text>
    </comment>
    <comment ref="B61" authorId="2" shapeId="0" xr:uid="{89B0ED71-C404-489E-B173-0D21600C3F44}">
      <text>
        <r>
          <rPr>
            <sz val="8"/>
            <color indexed="81"/>
            <rFont val="Tahoma"/>
            <family val="2"/>
          </rPr>
          <t>This is the amount of cash and noncash donations made which are allowed as deductions.  At a minimum, donations are limited to 50% of federal AGI.</t>
        </r>
      </text>
    </comment>
    <comment ref="F61" authorId="0" shapeId="0" xr:uid="{E9048C5F-4092-48EE-961A-091B16FCFC45}">
      <text>
        <r>
          <rPr>
            <sz val="8"/>
            <color indexed="81"/>
            <rFont val="Tahoma"/>
            <family val="2"/>
          </rPr>
          <t>This is a combination of income and self-employment (SE) taxes owed.</t>
        </r>
      </text>
    </comment>
    <comment ref="B62" authorId="0" shapeId="0" xr:uid="{531A100E-A1EC-4516-83D2-356A98294211}">
      <text>
        <r>
          <rPr>
            <sz val="8"/>
            <color indexed="81"/>
            <rFont val="Tahoma"/>
            <family val="2"/>
          </rPr>
          <t>This amount is the gross total of all income streams minus the total of all taxes owed (even though those taxes may not yet have been paid to date).</t>
        </r>
      </text>
    </comment>
    <comment ref="F62" authorId="0" shapeId="0" xr:uid="{1A30AD71-455B-4D2B-9CA8-0B70A4ADE7FC}">
      <text>
        <r>
          <rPr>
            <sz val="8"/>
            <color indexed="81"/>
            <rFont val="Tahoma"/>
            <family val="2"/>
          </rPr>
          <t>This is the total tax owed, taking into account any additional sums owed by the AMT.</t>
        </r>
      </text>
    </comment>
    <comment ref="F64" authorId="0" shapeId="0" xr:uid="{EC038E5F-840B-455B-A795-BB5E9275418D}">
      <text>
        <r>
          <rPr>
            <sz val="8"/>
            <color indexed="81"/>
            <rFont val="Tahoma"/>
            <family val="2"/>
          </rPr>
          <t>This amount should be the total of all federal income taxes withheld from W2 income.  You may want to include the F51 amount here since it is withheld and included in the F59 amount.</t>
        </r>
      </text>
    </comment>
    <comment ref="F65" authorId="2" shapeId="0" xr:uid="{D36880CF-159D-4E2D-99D7-E137C36306B1}">
      <text>
        <r>
          <rPr>
            <sz val="8"/>
            <color indexed="81"/>
            <rFont val="Tahoma"/>
            <family val="2"/>
          </rPr>
          <t>Include the amount of AMT deferral tax paid in the previous year that qualifies as a carryforward for this year.</t>
        </r>
      </text>
    </comment>
    <comment ref="B66" authorId="2" shapeId="0" xr:uid="{7DEB7651-E427-48D9-AA5B-BD0229823FC5}">
      <text>
        <r>
          <rPr>
            <sz val="8"/>
            <color indexed="81"/>
            <rFont val="Tahoma"/>
            <family val="2"/>
          </rPr>
          <t>Deduction. (non-SSTBs are not subject to this limit, but there are other limits beyond the scope of this spreadsheet, including W-2 wages-based for S Corps)
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t>
        </r>
      </text>
    </comment>
    <comment ref="F66" authorId="2" shapeId="0" xr:uid="{D82F983D-759A-4359-9ABF-72262CA05BB0}">
      <text>
        <r>
          <rPr>
            <sz val="8"/>
            <color indexed="81"/>
            <rFont val="Tahoma"/>
            <family val="2"/>
          </rPr>
          <t xml:space="preserve">Include any tax credits you qualify for which are not accounted for elsewhere. </t>
        </r>
      </text>
    </comment>
    <comment ref="F67" authorId="2" shapeId="0" xr:uid="{04999A8B-6D14-414D-8AFE-1735B7B5A4DB}">
      <text>
        <r>
          <rPr>
            <sz val="8"/>
            <color indexed="81"/>
            <rFont val="Tahoma"/>
            <family val="2"/>
          </rPr>
          <t>This computed amount determines the child tax credit that one is eligible to receive.  This credit is then subject to the limit of tax due computed below.</t>
        </r>
      </text>
    </comment>
    <comment ref="F68" authorId="0" shapeId="0" xr:uid="{F913FD1B-9E73-4567-A49B-8CB7D82AD5A2}">
      <text>
        <r>
          <rPr>
            <sz val="8"/>
            <color indexed="81"/>
            <rFont val="Tahoma"/>
            <family val="2"/>
          </rPr>
          <t>This computed amount, if positive, means that additional federal taxes are owed which should be paid at quarterly intervals using form 1040-ES.  If zero or negative, it means that a tax overpayment is in effect.  The child tax credit is factored into this amount</t>
        </r>
      </text>
    </comment>
    <comment ref="B74" authorId="0" shapeId="0" xr:uid="{FA81D2B5-D2DB-45A8-BBC2-EB053129B895}">
      <text>
        <r>
          <rPr>
            <sz val="8"/>
            <color indexed="81"/>
            <rFont val="Tahoma"/>
            <family val="2"/>
          </rPr>
          <t>This figure represents the number of dependents listed on the form.  The taxpayer is usually a dependent unless he or she is being claimed on someone else's tax return.</t>
        </r>
      </text>
    </comment>
    <comment ref="B75" authorId="0" shapeId="0" xr:uid="{2BAB612F-2859-4B9A-84AB-A845DC2E05B8}">
      <text>
        <r>
          <rPr>
            <sz val="8"/>
            <color indexed="81"/>
            <rFont val="Tahoma"/>
            <family val="2"/>
          </rPr>
          <t>Enter 1 if blind, 0 otherwise.</t>
        </r>
      </text>
    </comment>
    <comment ref="B76" authorId="0" shapeId="0" xr:uid="{95DA22E0-33E6-4EEF-BDF4-2786E0FF7DCC}">
      <text>
        <r>
          <rPr>
            <sz val="8"/>
            <color indexed="81"/>
            <rFont val="Tahoma"/>
            <family val="2"/>
          </rPr>
          <t>Enter 2 if both are 65 or older, 1 if either is 65 or over, or 0 otherwise.</t>
        </r>
      </text>
    </comment>
    <comment ref="B77" authorId="0" shapeId="0" xr:uid="{60AA396F-586E-45AE-81E1-2DF015E21A4B}">
      <text>
        <r>
          <rPr>
            <sz val="8"/>
            <color indexed="81"/>
            <rFont val="Tahoma"/>
            <family val="2"/>
          </rPr>
          <t>If "YES", the W2 incomes are assumed to come from one person.  If "NO", each W2 income is assumed to come from a different person.  This affects FICA tax overpayment and is meaningful only for a joint filing.</t>
        </r>
      </text>
    </comment>
    <comment ref="B78" authorId="0" shapeId="0" xr:uid="{53F7EA03-EBBA-454D-9A50-C55DFAEA6B09}">
      <text>
        <r>
          <rPr>
            <sz val="8"/>
            <color indexed="81"/>
            <rFont val="Tahoma"/>
            <family val="2"/>
          </rPr>
          <t>If "YES", the federal tax due computations will be rounded to the nearest dollar.</t>
        </r>
      </text>
    </comment>
    <comment ref="B79" authorId="0" shapeId="0" xr:uid="{ECAB9367-CE3C-43F2-B4E4-AAFE24903BFE}">
      <text>
        <r>
          <rPr>
            <sz val="8"/>
            <color indexed="81"/>
            <rFont val="Tahoma"/>
            <family val="2"/>
          </rPr>
          <t>Number of dependents for the child tax credit can be overridden.</t>
        </r>
      </text>
    </comment>
    <comment ref="B80" authorId="0" shapeId="0" xr:uid="{01721CED-929A-42EE-80E5-B883E5A56DFE}">
      <text>
        <r>
          <rPr>
            <sz val="10"/>
            <color indexed="8"/>
            <rFont val="Arial"/>
            <family val="2"/>
          </rPr>
          <t>Section 199A qualified business income (QBI) deduction is a </t>
        </r>
        <r>
          <rPr>
            <b/>
            <sz val="8"/>
            <color indexed="8"/>
            <rFont val="Arial"/>
            <family val="2"/>
          </rPr>
          <t>20% deduction off taxable income</t>
        </r>
        <r>
          <rPr>
            <sz val="8"/>
            <color indexed="8"/>
            <rFont val="Arial"/>
            <family val="2"/>
          </rPr>
          <t xml:space="preserve">
</t>
        </r>
        <r>
          <rPr>
            <sz val="10"/>
            <color indexed="8"/>
            <rFont val="Arial"/>
            <family val="2"/>
          </rPr>
          <t>applying to eligible self-employed (Sch. C/1099-NEC),</t>
        </r>
        <r>
          <rPr>
            <sz val="8"/>
            <color indexed="8"/>
            <rFont val="Arial"/>
            <family val="2"/>
          </rPr>
          <t xml:space="preserve">
</t>
        </r>
        <r>
          <rPr>
            <sz val="10"/>
            <color indexed="8"/>
            <rFont val="Arial"/>
            <family val="2"/>
          </rPr>
          <t>small-business owners (LLC/S-corp),</t>
        </r>
        <r>
          <rPr>
            <sz val="10"/>
            <color indexed="8"/>
            <rFont val="Arial"/>
            <family val="2"/>
          </rPr>
          <t xml:space="preserve"> and qualifying REIT and pass-through partnership distributions</t>
        </r>
      </text>
    </comment>
    <comment ref="B81" authorId="0" shapeId="0" xr:uid="{FEF75293-2969-40B2-B3E8-87EA60C16815}">
      <text>
        <r>
          <rPr>
            <u/>
            <sz val="8"/>
            <color indexed="8"/>
            <rFont val="Arial"/>
            <family val="2"/>
          </rPr>
          <t>Specified service trades or businesses (SSTBs)</t>
        </r>
        <r>
          <rPr>
            <sz val="8"/>
            <color indexed="8"/>
            <rFont val="Arial"/>
            <family val="2"/>
          </rPr>
          <t xml:space="preserve"> are:
</t>
        </r>
        <r>
          <rPr>
            <sz val="8"/>
            <color indexed="8"/>
            <rFont val="Arial"/>
            <family val="2"/>
          </rPr>
          <t>1.Trades or businesses performing services in the fields of health, law, accounting, actuarial science, performing arts, consulting, athletics, financial services, brokerage services, or any trade or business </t>
        </r>
        <r>
          <rPr>
            <b/>
            <sz val="8"/>
            <color indexed="8"/>
            <rFont val="Arial"/>
            <family val="2"/>
          </rPr>
          <t>where the principal asset of that trade or business is the reputation or skill of one or more of its employees</t>
        </r>
        <r>
          <rPr>
            <sz val="8"/>
            <color indexed="8"/>
            <rFont val="Arial"/>
            <family val="2"/>
          </rPr>
          <t xml:space="preserve">
See Sec. 1202(e)(3)(A) for list; however,
</t>
        </r>
        <r>
          <rPr>
            <sz val="8"/>
            <color indexed="8"/>
            <rFont val="Arial"/>
            <family val="2"/>
          </rPr>
          <t>TCJA specifically excluded </t>
        </r>
        <r>
          <rPr>
            <b/>
            <sz val="8"/>
            <color indexed="8"/>
            <rFont val="Arial"/>
            <family val="2"/>
          </rPr>
          <t>engineering &amp; architecture</t>
        </r>
        <r>
          <rPr>
            <sz val="8"/>
            <color indexed="8"/>
            <rFont val="Arial"/>
            <family val="2"/>
          </rPr>
          <t>:</t>
        </r>
        <r>
          <rPr>
            <sz val="8"/>
            <color indexed="8"/>
            <rFont val="Arial"/>
            <family val="2"/>
          </rPr>
          <t xml:space="preserve">
</t>
        </r>
        <r>
          <rPr>
            <i/>
            <sz val="8"/>
            <color indexed="8"/>
            <rFont val="Arial"/>
            <family val="2"/>
          </rPr>
          <t>Software engineers, architects, etc. had effective lobbyists. They are </t>
        </r>
        <r>
          <rPr>
            <b/>
            <i/>
            <sz val="8"/>
            <color indexed="8"/>
            <rFont val="Arial"/>
            <family val="2"/>
          </rPr>
          <t>not</t>
        </r>
        <r>
          <rPr>
            <i/>
            <sz val="8"/>
            <color indexed="8"/>
            <rFont val="Arial"/>
            <family val="2"/>
          </rPr>
          <t> an SSTB for QBID!</t>
        </r>
        <r>
          <rPr>
            <sz val="8"/>
            <color indexed="8"/>
            <rFont val="Arial"/>
            <family val="2"/>
          </rPr>
          <t xml:space="preserve">
or
</t>
        </r>
        <r>
          <rPr>
            <sz val="8"/>
            <color indexed="8"/>
            <rFont val="Arial"/>
            <family val="2"/>
          </rPr>
          <t>2. Any trade or business that involves the performance of services that consist of investing and investment management, trading, or dealing in securities described in Sec. 475(c)(2), partnership interests, or commodities described in Sec. 475(e)(2) (Sec. 199A(d)(2)(B)).
If you are unsure, it's more conservative to </t>
        </r>
        <r>
          <rPr>
            <u/>
            <sz val="8"/>
            <color indexed="8"/>
            <rFont val="Arial"/>
            <family val="2"/>
          </rPr>
          <t>leave as YES</t>
        </r>
        <r>
          <rPr>
            <sz val="8"/>
            <color indexed="8"/>
            <rFont val="Arial"/>
            <family val="2"/>
          </rPr>
          <t xml:space="preserve">.
</t>
        </r>
        <r>
          <rPr>
            <sz val="8"/>
            <color indexed="8"/>
            <rFont val="Arial"/>
            <family val="2"/>
          </rPr>
          <t xml:space="preserve">
</t>
        </r>
        <r>
          <rPr>
            <sz val="8"/>
            <color indexed="8"/>
            <rFont val="Arial"/>
            <family val="2"/>
          </rPr>
          <t xml:space="preserve">https://www.journalofaccountancy.com/issues/2018/may/sec-199a-deduction-for-qualified-business-income.html#:~:text=to%20the%20words%20%27-,engineering%2C%20architecture,-%2C%27)%20...%20or%20which%20involves
</t>
        </r>
      </text>
    </comment>
    <comment ref="F83" authorId="0" shapeId="0" xr:uid="{A3141474-DAEE-4FE6-9003-51404827672F}">
      <text>
        <r>
          <rPr>
            <sz val="8"/>
            <color indexed="81"/>
            <rFont val="Tahoma"/>
            <family val="2"/>
          </rPr>
          <t>Sample cell note.</t>
        </r>
      </text>
    </comment>
    <comment ref="B106" authorId="0" shapeId="0" xr:uid="{9938CC67-CF74-435A-845B-5BF87C295844}">
      <text>
        <r>
          <rPr>
            <sz val="8"/>
            <color indexed="81"/>
            <rFont val="Tahoma"/>
            <family val="2"/>
          </rPr>
          <t>This is the maximum tax rate applied to all income that is classified as long term investment income held longer than 12 months but less than 60 months.</t>
        </r>
      </text>
    </comment>
    <comment ref="B107" authorId="0" shapeId="0" xr:uid="{CC730100-11FB-4954-A65A-D69972F2EFB4}">
      <text>
        <r>
          <rPr>
            <sz val="8"/>
            <color indexed="81"/>
            <rFont val="Tahoma"/>
            <family val="2"/>
          </rPr>
          <t>This is the capital gains tax rate for assets acquired after 1/1/2001, which are then held for longer than 60 months.</t>
        </r>
      </text>
    </comment>
    <comment ref="B108" authorId="0" shapeId="0" xr:uid="{81A76B91-F19A-4449-BDF1-680995307EC6}">
      <text>
        <r>
          <rPr>
            <sz val="8"/>
            <color indexed="81"/>
            <rFont val="Tahoma"/>
            <family val="2"/>
          </rPr>
          <t>This capital gains rate applies to high income earners who exceed the taxable income threshold.</t>
        </r>
      </text>
    </comment>
    <comment ref="B109" authorId="2" shapeId="0" xr:uid="{D333E39B-904D-47B9-890C-DCB4E60C439E}">
      <text>
        <r>
          <rPr>
            <sz val="8"/>
            <color indexed="81"/>
            <rFont val="Tahoma"/>
            <family val="2"/>
          </rPr>
          <t>Taxable income in excess of this amount is taxed at the capital gains high income rate instead of the normal rate.</t>
        </r>
      </text>
    </comment>
    <comment ref="B110" authorId="0" shapeId="0" xr:uid="{7D625BB5-3B18-4070-AA1F-DB728B3CCEDB}">
      <text>
        <r>
          <rPr>
            <sz val="8"/>
            <color indexed="81"/>
            <rFont val="Tahoma"/>
            <family val="2"/>
          </rPr>
          <t>Investment income surtax rate.</t>
        </r>
      </text>
    </comment>
    <comment ref="B111" authorId="0" shapeId="0" xr:uid="{FAE93F3F-1ED6-4FF6-8F7E-ECA4B6F5558F}">
      <text>
        <r>
          <rPr>
            <sz val="8"/>
            <color indexed="81"/>
            <rFont val="Tahoma"/>
            <family val="2"/>
          </rPr>
          <t>Income over this amount is subject to capital gains and Medicare surtaxes.</t>
        </r>
      </text>
    </comment>
    <comment ref="B112" authorId="0" shapeId="0" xr:uid="{E6553A91-94D8-42CA-96AF-6FCE5192ED00}">
      <text>
        <r>
          <rPr>
            <sz val="8"/>
            <color indexed="81"/>
            <rFont val="Tahoma"/>
            <family val="2"/>
          </rPr>
          <t>This deduction is taken only if the itemized deductions listed are less than this amount.</t>
        </r>
      </text>
    </comment>
    <comment ref="B113" authorId="0" shapeId="0" xr:uid="{3E3A0868-A5DB-49DF-ADB6-15B478CC79F0}">
      <text>
        <r>
          <rPr>
            <sz val="8"/>
            <color indexed="81"/>
            <rFont val="Tahoma"/>
            <family val="2"/>
          </rPr>
          <t>This deduction adds to the standard deduction if blind and/or over 65.</t>
        </r>
      </text>
    </comment>
    <comment ref="B114" authorId="0" shapeId="0" xr:uid="{C45AB496-4715-4C4E-A2A3-94A4D5413448}">
      <text>
        <r>
          <rPr>
            <sz val="8"/>
            <color indexed="81"/>
            <rFont val="Tahoma"/>
            <family val="2"/>
          </rPr>
          <t>This deduction comprises the income reduction amount per dependent claimed on the tax return.</t>
        </r>
      </text>
    </comment>
    <comment ref="B115" authorId="0" shapeId="0" xr:uid="{B2F246DA-D2D5-4ADC-AB26-D8F1DDE6E0B3}">
      <text>
        <r>
          <rPr>
            <sz val="8"/>
            <color indexed="81"/>
            <rFont val="Tahoma"/>
            <family val="2"/>
          </rPr>
          <t>This number is used solely as a divisor in  a ceiling function to compute a limitation on personal deductions.</t>
        </r>
      </text>
    </comment>
    <comment ref="B116" authorId="0" shapeId="0" xr:uid="{7D0AF2DE-E7B2-4991-93F5-4314144F6BDA}">
      <text>
        <r>
          <rPr>
            <sz val="8"/>
            <color indexed="81"/>
            <rFont val="Tahoma"/>
            <family val="2"/>
          </rPr>
          <t>Any income above this amount causes personal deductions to be limited.</t>
        </r>
      </text>
    </comment>
    <comment ref="B117" authorId="0" shapeId="0" xr:uid="{121240EA-84F5-4074-B07F-94D628480975}">
      <text>
        <r>
          <rPr>
            <sz val="8"/>
            <color indexed="81"/>
            <rFont val="Tahoma"/>
            <family val="2"/>
          </rPr>
          <t>This rate determines the amount of limitation allowed for claimed personal deductions.</t>
        </r>
      </text>
    </comment>
    <comment ref="B118" authorId="2" shapeId="0" xr:uid="{685FDEA0-9068-4614-8150-4A73F1ABAF4E}">
      <text>
        <r>
          <rPr>
            <sz val="8"/>
            <color indexed="81"/>
            <rFont val="Tahoma"/>
            <family val="2"/>
          </rPr>
          <t>This is a maximum per-child tax credit and is automatically computed.</t>
        </r>
      </text>
    </comment>
    <comment ref="B119" authorId="2" shapeId="0" xr:uid="{E347DCCE-2F6A-4681-99F8-91ADBE8A6E33}">
      <text>
        <r>
          <rPr>
            <sz val="8"/>
            <color indexed="81"/>
            <rFont val="Tahoma"/>
            <family val="2"/>
          </rPr>
          <t>Federal adjusted gross income over this amount causes the child tax credit to be limited.</t>
        </r>
      </text>
    </comment>
    <comment ref="B120" authorId="2" shapeId="0" xr:uid="{CFD3BA55-E5E1-4C8B-A615-44E83B9B6F37}">
      <text>
        <r>
          <rPr>
            <sz val="8"/>
            <color indexed="81"/>
            <rFont val="Tahoma"/>
            <family val="2"/>
          </rPr>
          <t>Used soley in the computation of a limited child tax credit.</t>
        </r>
      </text>
    </comment>
    <comment ref="B122" authorId="0" shapeId="0" xr:uid="{A4E6181F-D935-4A4C-AD60-C4ED31EA3B67}">
      <text>
        <r>
          <rPr>
            <sz val="8"/>
            <color indexed="81"/>
            <rFont val="Tahoma"/>
            <family val="2"/>
          </rPr>
          <t>Any income above this amount causes the Schedule A deductions to be limited.</t>
        </r>
      </text>
    </comment>
    <comment ref="B123" authorId="0" shapeId="0" xr:uid="{B16EC0F4-9A94-49C4-BF5B-C51AA269B8C5}">
      <text>
        <r>
          <rPr>
            <sz val="8"/>
            <color indexed="81"/>
            <rFont val="Tahoma"/>
            <family val="2"/>
          </rPr>
          <t>This rate determines the limitation in Schedule A deductions above a threshold income level.</t>
        </r>
      </text>
    </comment>
    <comment ref="B124" authorId="0" shapeId="0" xr:uid="{89731F1B-077D-4EA7-93B3-A6E6704E27FF}">
      <text>
        <r>
          <rPr>
            <sz val="8"/>
            <color indexed="81"/>
            <rFont val="Tahoma"/>
            <family val="2"/>
          </rPr>
          <t>This rate determines the limitation in Schedule A deductions above a threshold income level.</t>
        </r>
      </text>
    </comment>
    <comment ref="B125" authorId="2" shapeId="0" xr:uid="{D25B70C2-6BA9-476A-9866-60BCD84E6F98}">
      <text>
        <r>
          <rPr>
            <sz val="8"/>
            <color indexed="81"/>
            <rFont val="Tahoma"/>
            <family val="2"/>
          </rPr>
          <t>Used soley in the computation of a limited child tax credit.</t>
        </r>
      </text>
    </comment>
    <comment ref="B126" authorId="0" shapeId="0" xr:uid="{9719F586-144F-4E32-822E-D1027527D621}">
      <text>
        <r>
          <rPr>
            <sz val="8"/>
            <color indexed="81"/>
            <rFont val="Tahoma"/>
            <family val="2"/>
          </rPr>
          <t>Schedule C income is subject to both FICA and medicare tax.  This tax rate is the medicare portion owed on all Schedule C income.</t>
        </r>
      </text>
    </comment>
    <comment ref="B127" authorId="0" shapeId="0" xr:uid="{AC01A5DA-0130-4379-A052-137D355C74B2}">
      <text>
        <r>
          <rPr>
            <sz val="8"/>
            <color indexed="81"/>
            <rFont val="Tahoma"/>
            <family val="2"/>
          </rPr>
          <t>This income rate limitation applies to Schedule C income for the purposes of computing FICA and medicare tax owed.</t>
        </r>
      </text>
    </comment>
    <comment ref="B128" authorId="0" shapeId="0" xr:uid="{0D193059-1077-4C69-9F12-85DBBC24D98F}">
      <text>
        <r>
          <rPr>
            <sz val="8"/>
            <color indexed="81"/>
            <rFont val="Tahoma"/>
            <family val="2"/>
          </rPr>
          <t>This denotes the maximum medicare tax owed.  An amount of zero (0.00) indicates that there is no maximum tax.</t>
        </r>
      </text>
    </comment>
    <comment ref="B129" authorId="0" shapeId="0" xr:uid="{EF44B131-29E7-4497-9C86-5E8CF2319F3D}">
      <text>
        <r>
          <rPr>
            <sz val="8"/>
            <color indexed="81"/>
            <rFont val="Tahoma"/>
            <family val="2"/>
          </rPr>
          <t>Federal Medicare tax rate applied to W2 income sources (one half of the SE tax rate).</t>
        </r>
      </text>
    </comment>
    <comment ref="B130" authorId="0" shapeId="0" xr:uid="{9A46062D-E944-4115-BB65-2013B036F72C}">
      <text>
        <r>
          <rPr>
            <sz val="8"/>
            <color indexed="81"/>
            <rFont val="Tahoma"/>
            <family val="2"/>
          </rPr>
          <t>Federal Medicare surtax rate for income exceeding the ACA Surtax Cliff amount.</t>
        </r>
      </text>
    </comment>
    <comment ref="B131" authorId="0" shapeId="0" xr:uid="{918BF651-DAC6-4FB9-9C31-8563BAF4BE5A}">
      <text>
        <r>
          <rPr>
            <sz val="8"/>
            <color indexed="81"/>
            <rFont val="Tahoma"/>
            <family val="2"/>
          </rPr>
          <t>This tax rate is used in computing Schedule C income FICA tax owed.</t>
        </r>
      </text>
    </comment>
    <comment ref="B132" authorId="0" shapeId="0" xr:uid="{A017649A-11DA-4B5E-94A9-0E80EF67D5EB}">
      <text>
        <r>
          <rPr>
            <sz val="8"/>
            <color indexed="81"/>
            <rFont val="Tahoma"/>
            <family val="2"/>
          </rPr>
          <t>This is the maximum FICA tax owed by all sources of income earned.  0.00 indicates that there is no maximum tax ceiling.</t>
        </r>
      </text>
    </comment>
    <comment ref="B133" authorId="0" shapeId="0" xr:uid="{854214B1-378D-49D8-BDB4-E6E60F77C759}">
      <text>
        <r>
          <rPr>
            <sz val="8"/>
            <color indexed="81"/>
            <rFont val="Tahoma"/>
            <family val="2"/>
          </rPr>
          <t>Maximum income level subject to FICA tax.  An amount specified as zero (0.00) means that there is no maximum income limitation.</t>
        </r>
      </text>
    </comment>
    <comment ref="B134" authorId="0" shapeId="0" xr:uid="{A6FE8413-E0D8-44E6-86A6-D35A51784F5D}">
      <text>
        <r>
          <rPr>
            <sz val="8"/>
            <color indexed="81"/>
            <rFont val="Tahoma"/>
            <family val="2"/>
          </rPr>
          <t>SE tax is not owed if the income (after applying the SE income limitation rate) is less than this amount.</t>
        </r>
      </text>
    </comment>
    <comment ref="B135" authorId="0" shapeId="0" xr:uid="{89455EA6-084F-41E6-880A-B0BEA5DC96E3}">
      <text>
        <r>
          <rPr>
            <sz val="8"/>
            <color indexed="81"/>
            <rFont val="Tahoma"/>
            <family val="2"/>
          </rPr>
          <t>FICA tax rate applied to W2 income sources (one half of the SE tax rate).</t>
        </r>
      </text>
    </comment>
    <comment ref="B136" authorId="0" shapeId="0" xr:uid="{BE2F22C6-3EEB-423C-B57F-F9C997F2F1C8}">
      <text>
        <r>
          <rPr>
            <sz val="8"/>
            <color indexed="81"/>
            <rFont val="Tahoma"/>
            <family val="2"/>
          </rPr>
          <t>SE income used to pay for health insurance premiums are deductable at this rate.</t>
        </r>
      </text>
    </comment>
    <comment ref="B137" authorId="0" shapeId="0" xr:uid="{FF8A251D-47B3-4680-96CE-F823A4430B89}">
      <text>
        <r>
          <rPr>
            <sz val="8"/>
            <color indexed="81"/>
            <rFont val="Tahoma"/>
            <family val="2"/>
          </rPr>
          <t>Maximum amount of stock and mutual fund losses allowed in one year.</t>
        </r>
      </text>
    </comment>
    <comment ref="B144" authorId="2" shapeId="0" xr:uid="{C440A6BF-6EBD-40E8-8ADC-2620A859328C}">
      <text>
        <r>
          <rPr>
            <sz val="8"/>
            <color indexed="81"/>
            <rFont val="Tahoma"/>
            <family val="2"/>
          </rPr>
          <t>The federal 2020 CARES act allows unlimited charitable contributions through 2021.  In future years, at most 60% of your federal AGI for cash and noncash contributions are deductable.  See IRS publication 526 for details of this limit as well as further limits that may apply to your tax situation.</t>
        </r>
      </text>
    </comment>
    <comment ref="B145" authorId="2" shapeId="0" xr:uid="{E6B4324E-091B-4FF9-940C-E98DE7195DAE}">
      <text>
        <r>
          <rPr>
            <sz val="8"/>
            <color indexed="81"/>
            <rFont val="Tahoma"/>
            <family val="2"/>
          </rPr>
          <t>Starting in 2026, charitable contributions must exceed 0.5% AGI for filers who claim the itemized deduction.</t>
        </r>
      </text>
    </comment>
    <comment ref="B146" authorId="2" shapeId="0" xr:uid="{239A9AEB-0421-49C1-9342-094E3D2A6B18}">
      <text>
        <r>
          <rPr>
            <sz val="9"/>
            <color indexed="81"/>
            <rFont val="Tahoma"/>
            <family val="2"/>
          </rPr>
          <t>Starting in 2026, highest bracket filers have their charitable contributions limited by this amount.</t>
        </r>
      </text>
    </comment>
    <comment ref="B147" authorId="2" shapeId="0" xr:uid="{2E16639A-5FE5-4DF5-97D1-D26ECB60B537}">
      <text>
        <r>
          <rPr>
            <sz val="9"/>
            <color indexed="81"/>
            <rFont val="Tahoma"/>
            <family val="2"/>
          </rPr>
          <t>Starting in 2026, non-itemizers can deduct up to this amount in charitable giving.</t>
        </r>
      </text>
    </comment>
    <comment ref="B161" authorId="3" shapeId="0" xr:uid="{A08B3F99-467B-4931-AF98-FABCF62B08C6}">
      <text>
        <r>
          <rPr>
            <sz val="10"/>
            <color indexed="8"/>
            <rFont val="Tahoma"/>
            <family val="2"/>
          </rPr>
          <t xml:space="preserve">QBI (qualified business income) from SSTBs is subject to a limitation and phaseout for the calculation of the QBI Deduction. 
</t>
        </r>
        <r>
          <rPr>
            <sz val="10"/>
            <color indexed="8"/>
            <rFont val="Tahoma"/>
            <family val="2"/>
          </rPr>
          <t xml:space="preserve">
</t>
        </r>
        <r>
          <rPr>
            <sz val="10"/>
            <color indexed="8"/>
            <rFont val="Tahoma"/>
            <family val="2"/>
          </rPr>
          <t xml:space="preserve">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
</t>
        </r>
      </text>
    </comment>
    <comment ref="B162" authorId="3" shapeId="0" xr:uid="{65B94028-93B8-4EE7-9581-241C524C7CB7}">
      <text>
        <r>
          <rPr>
            <sz val="10"/>
            <color indexed="8"/>
            <rFont val="Tahoma"/>
            <family val="2"/>
          </rPr>
          <t xml:space="preserve">see note above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Geoffrey O. Mendal</author>
    <author>mendal</author>
    <author>Geoff Mendal</author>
    <author>cai</author>
  </authors>
  <commentList>
    <comment ref="B21" authorId="0" shapeId="0" xr:uid="{1D01F379-19AB-4AF6-8BD6-EA7C11829704}">
      <text>
        <r>
          <rPr>
            <sz val="8"/>
            <color indexed="81"/>
            <rFont val="Tahoma"/>
            <family val="2"/>
          </rPr>
          <t>W2 income from your primary job.</t>
        </r>
      </text>
    </comment>
    <comment ref="N21" authorId="0" shapeId="0" xr:uid="{1345CFF6-90A9-43FB-9700-21EE6ACF1598}">
      <text>
        <r>
          <rPr>
            <sz val="8"/>
            <color indexed="81"/>
            <rFont val="Tahoma"/>
            <family val="2"/>
          </rPr>
          <t>These are the adjustments and preferences that are computed automatically from your federal income and expense entries.</t>
        </r>
      </text>
    </comment>
    <comment ref="B22" authorId="0" shapeId="0" xr:uid="{86D99E20-B555-4479-8F76-06116C388BC2}">
      <text>
        <r>
          <rPr>
            <sz val="8"/>
            <color indexed="81"/>
            <rFont val="Tahoma"/>
            <family val="2"/>
          </rPr>
          <t>W2 income from your second job.</t>
        </r>
      </text>
    </comment>
    <comment ref="F22" authorId="0" shapeId="0" xr:uid="{EE4987E1-F073-4668-A87A-9F4FEC1133B7}">
      <text>
        <r>
          <rPr>
            <sz val="8"/>
            <color indexed="81"/>
            <rFont val="Tahoma"/>
            <family val="2"/>
          </rPr>
          <t>Enter your state income tax liability here.  You may also include state sales taxes paid.</t>
        </r>
      </text>
    </comment>
    <comment ref="N22" authorId="0" shapeId="0" xr:uid="{A8F029CA-7D18-4AB6-A477-62F7D2D16B4C}">
      <text>
        <r>
          <rPr>
            <sz val="8"/>
            <color indexed="81"/>
            <rFont val="Tahoma"/>
            <family val="2"/>
          </rPr>
          <t>Additional adjustments and preferences can be totaled here as required.  For example, incentive stock options can be added as an adjustment in this cell.</t>
        </r>
      </text>
    </comment>
    <comment ref="B23" authorId="0" shapeId="0" xr:uid="{58027FB7-3080-409A-A6C2-F798D8F4AA9E}">
      <text>
        <r>
          <rPr>
            <sz val="8"/>
            <color indexed="81"/>
            <rFont val="Tahoma"/>
            <family val="2"/>
          </rPr>
          <t>Schedule C income.  SE tax is computed using this income.</t>
        </r>
      </text>
    </comment>
    <comment ref="F23" authorId="0" shapeId="0" xr:uid="{677A4D0A-64F5-4C48-BF11-4319137C609D}">
      <text>
        <r>
          <rPr>
            <sz val="8"/>
            <color indexed="81"/>
            <rFont val="Tahoma"/>
            <family val="2"/>
          </rPr>
          <t>Any local or city income taxes other than state income tax go here.</t>
        </r>
      </text>
    </comment>
    <comment ref="N23" authorId="0" shapeId="0" xr:uid="{E9D26BDC-824D-45C8-A60E-F9DD8573C177}">
      <text>
        <r>
          <rPr>
            <sz val="8"/>
            <color indexed="81"/>
            <rFont val="Tahoma"/>
            <family val="2"/>
          </rPr>
          <t>If this cell value is 0, normal capital gains basis will be used when computing AMT.  Use this cell to override this behavior by establishing a dual-basis of capital gains for AMT purposes.</t>
        </r>
      </text>
    </comment>
    <comment ref="B24" authorId="0" shapeId="0" xr:uid="{3F1844D3-DD6B-44D2-AC4C-60595CA628BA}">
      <text>
        <r>
          <rPr>
            <sz val="8"/>
            <color indexed="81"/>
            <rFont val="Tahoma"/>
            <family val="2"/>
          </rPr>
          <t>Savings account interest earned.</t>
        </r>
      </text>
    </comment>
    <comment ref="F24" authorId="0" shapeId="0" xr:uid="{A8E28BC0-4C7D-4D2C-AD02-2A8D5233F81C}">
      <text>
        <r>
          <rPr>
            <sz val="8"/>
            <color indexed="81"/>
            <rFont val="Tahoma"/>
            <family val="2"/>
          </rPr>
          <t>This amount designates taxes owed for prior years paid in this year.</t>
        </r>
      </text>
    </comment>
    <comment ref="N24" authorId="0" shapeId="0" xr:uid="{CBAFEAAD-97BB-4FE0-9E1F-5CC25CFBCD79}">
      <text>
        <r>
          <rPr>
            <sz val="8"/>
            <color indexed="81"/>
            <rFont val="Tahoma"/>
            <family val="2"/>
          </rPr>
          <t>This is your taxable income for the purposes of computing the AMT.</t>
        </r>
      </text>
    </comment>
    <comment ref="B25" authorId="0" shapeId="0" xr:uid="{E6DC7B17-805D-4BC3-933D-DE90AA440757}">
      <text>
        <r>
          <rPr>
            <sz val="8"/>
            <color indexed="81"/>
            <rFont val="Tahoma"/>
            <family val="2"/>
          </rPr>
          <t>Savings account interest earned.</t>
        </r>
      </text>
    </comment>
    <comment ref="N25" authorId="0" shapeId="0" xr:uid="{F363E6C1-3518-4C1F-B3E0-88E44B4DC1AF}">
      <text>
        <r>
          <rPr>
            <sz val="8"/>
            <color indexed="81"/>
            <rFont val="Tahoma"/>
            <family val="2"/>
          </rPr>
          <t>This is the computed exemption amount allowed by the AMT.</t>
        </r>
      </text>
    </comment>
    <comment ref="B26" authorId="0" shapeId="0" xr:uid="{4F077AA6-C63B-48B8-B41B-A86078AF32DD}">
      <text>
        <r>
          <rPr>
            <sz val="8"/>
            <color indexed="81"/>
            <rFont val="Tahoma"/>
            <family val="2"/>
          </rPr>
          <t>Money market account interest earned.</t>
        </r>
      </text>
    </comment>
    <comment ref="F26" authorId="0" shapeId="0" xr:uid="{F108214C-B2EB-4EB8-8848-E4BEF65003B7}">
      <text>
        <r>
          <rPr>
            <sz val="8"/>
            <color indexed="81"/>
            <rFont val="Tahoma"/>
            <family val="2"/>
          </rPr>
          <t>This amount includes taxes paid on personal property such as the taxable portion of automobile license and registration.</t>
        </r>
      </text>
    </comment>
    <comment ref="N26" authorId="0" shapeId="0" xr:uid="{3C6FBD3D-C324-4C05-A112-97F7DB71E582}">
      <text>
        <r>
          <rPr>
            <sz val="8"/>
            <color indexed="81"/>
            <rFont val="Tahoma"/>
            <family val="2"/>
          </rPr>
          <t>This is the amount of income subject to the AMT computation.</t>
        </r>
      </text>
    </comment>
    <comment ref="B27" authorId="0" shapeId="0" xr:uid="{5803EF2D-3D55-4230-A798-1FED96364FA9}">
      <text>
        <r>
          <rPr>
            <sz val="8"/>
            <color indexed="81"/>
            <rFont val="Tahoma"/>
            <family val="2"/>
          </rPr>
          <t>Money market account interest earned.</t>
        </r>
      </text>
    </comment>
    <comment ref="F27" authorId="0" shapeId="0" xr:uid="{6B3B1CFE-73C9-4C23-AD4C-5A2F507AFE4E}">
      <text>
        <r>
          <rPr>
            <sz val="8"/>
            <color indexed="81"/>
            <rFont val="Tahoma"/>
            <family val="2"/>
          </rPr>
          <t>Generally, points paid when purchasing a new home are deductable in full, while points paid for a refinance must be amortized over the life of the loan.</t>
        </r>
      </text>
    </comment>
    <comment ref="N27" authorId="0" shapeId="0" xr:uid="{01ABBD3C-9876-47AA-8D75-330622D96756}">
      <text>
        <r>
          <rPr>
            <sz val="8"/>
            <color indexed="81"/>
            <rFont val="Tahoma"/>
            <family val="2"/>
          </rPr>
          <t>This is the computed AMT amount.</t>
        </r>
      </text>
    </comment>
    <comment ref="B28" authorId="0" shapeId="0" xr:uid="{BA59FD5C-D84D-447D-9B77-935BAEF20D51}">
      <text>
        <r>
          <rPr>
            <sz val="8"/>
            <color indexed="81"/>
            <rFont val="Tahoma"/>
            <family val="2"/>
          </rPr>
          <t>Interest from US treasury bills, notes, and bonds.  Federal only taxable social security income can also be placed here.</t>
        </r>
      </text>
    </comment>
    <comment ref="J28" authorId="1" shapeId="0" xr:uid="{3B109BAB-221C-4E46-BEAD-2F9DC8DAEA70}">
      <text>
        <r>
          <rPr>
            <sz val="9"/>
            <color indexed="81"/>
            <rFont val="Tahoma"/>
            <family val="2"/>
          </rPr>
          <t>The percentage computed for tax due divided by taxable income.</t>
        </r>
      </text>
    </comment>
    <comment ref="N28" authorId="0" shapeId="0" xr:uid="{D1C57215-5D16-49D8-87A1-9DAD2C4E3935}">
      <text>
        <r>
          <rPr>
            <sz val="8"/>
            <color indexed="81"/>
            <rFont val="Tahoma"/>
            <family val="2"/>
          </rPr>
          <t>Use this cell to enter dollar-for-dollar tax credits against the AMT.  For example, the foreign tax credit.</t>
        </r>
      </text>
    </comment>
    <comment ref="B29" authorId="0" shapeId="0" xr:uid="{95355DE8-A08D-491C-BAE0-7A8AB2DF0A33}">
      <text>
        <r>
          <rPr>
            <sz val="8"/>
            <color indexed="81"/>
            <rFont val="Tahoma"/>
            <family val="2"/>
          </rPr>
          <t>Stock and fund dividends that qualify for the long-term capital gains tax rate appear here.</t>
        </r>
      </text>
    </comment>
    <comment ref="F29" authorId="0" shapeId="0" xr:uid="{98BEA9B0-8EED-4B7C-9B41-AC7E97FBC475}">
      <text>
        <r>
          <rPr>
            <sz val="8"/>
            <color indexed="81"/>
            <rFont val="Tahoma"/>
            <family val="2"/>
          </rPr>
          <t>If this amount is over $500, then form 8283 must be filed with the return.  If any single donation comprising this amount is over $500, then more parts of form 8283 will be required to be filled out.</t>
        </r>
      </text>
    </comment>
    <comment ref="N29" authorId="0" shapeId="0" xr:uid="{740C630D-88CA-4D36-B6B2-2BFF79B38FFE}">
      <text>
        <r>
          <rPr>
            <sz val="8"/>
            <color indexed="81"/>
            <rFont val="Tahoma"/>
            <family val="2"/>
          </rPr>
          <t>This is the additional tax owed, if any, as a result of the AMT.  If the computed AMT tax is less than the normal income tax, then this value will be zero (no AMT is due).</t>
        </r>
      </text>
    </comment>
    <comment ref="B30" authorId="0" shapeId="0" xr:uid="{D776A49F-C66D-403B-8BC8-E0A725460EDB}">
      <text>
        <r>
          <rPr>
            <sz val="8"/>
            <color indexed="81"/>
            <rFont val="Tahoma"/>
            <family val="2"/>
          </rPr>
          <t>Stock and fund distributions that are  subject to short term income tax rate appear here.  It is acceptable to match short-term losses here, as long as the end result is 0 or greater.  If your losses exceed your gains, specify the net loss in lieu of gains below.</t>
        </r>
      </text>
    </comment>
    <comment ref="F30" authorId="0" shapeId="0" xr:uid="{C7D74482-17CE-449C-821B-5890C5E98E82}">
      <text>
        <r>
          <rPr>
            <sz val="8"/>
            <color indexed="81"/>
            <rFont val="Tahoma"/>
            <family val="2"/>
          </rPr>
          <t>Use this amount to compute deductions that are not listed above.  For example, qualified casualty losses  can be included in this figure.</t>
        </r>
      </text>
    </comment>
    <comment ref="B31" authorId="0" shapeId="0" xr:uid="{05422FAE-EDDC-4A71-B9AA-51C336F811FA}">
      <text>
        <r>
          <rPr>
            <sz val="8"/>
            <color indexed="81"/>
            <rFont val="Tahoma"/>
            <family val="2"/>
          </rPr>
          <t>Stock and fund distributions that are  subject to long term capital gains tax rate appear here.  It is acceptable to match long-term losses here, as long as the end result is 0 or greater.  If your losses exceed your gains, specify the net loss in lieu of gains below.</t>
        </r>
      </text>
    </comment>
    <comment ref="F31" authorId="0" shapeId="0" xr:uid="{8282ED28-BC81-47C2-A3C5-762D906E28FF}">
      <text>
        <r>
          <rPr>
            <sz val="8"/>
            <color indexed="81"/>
            <rFont val="Tahoma"/>
            <family val="2"/>
          </rPr>
          <t>Enter all medical and dental expenses here.  The actual amount allowed will be computed above the 7.5% adjusted gross income threshold.</t>
        </r>
      </text>
    </comment>
    <comment ref="B32" authorId="0" shapeId="0" xr:uid="{EECFE3A4-EBC8-40C4-96E5-FEDEDAC60234}">
      <text>
        <r>
          <rPr>
            <sz val="8"/>
            <color indexed="81"/>
            <rFont val="Tahoma"/>
            <family val="2"/>
          </rPr>
          <t>Stock/fund distributions that are subject to the 60 month cap gains tax rate appear here.  This rate goes into effect for purchases made after 1/1/2001, and so the value here should be 0.00.</t>
        </r>
      </text>
    </comment>
    <comment ref="F32" authorId="0" shapeId="0" xr:uid="{A6C43C8B-CF76-4F47-BC86-3ADA605AFDDB}">
      <text>
        <r>
          <rPr>
            <sz val="8"/>
            <color indexed="81"/>
            <rFont val="Tahoma"/>
            <family val="2"/>
          </rPr>
          <t>Starting in 2018, the 2% deduction has been eliminated so this value should remain as 0.
Enter all deductions here which will then be computed against a 2% threshold over adjusted gross income.  Examples of such deductions include unreimbursed employee expenses, tax preparation fees, investment expenses, and safe deposit box expenses.</t>
        </r>
      </text>
    </comment>
    <comment ref="B33" authorId="0" shapeId="0" xr:uid="{3CBE3F0B-52BE-448C-B85C-DBFEE07DD4B4}">
      <text>
        <r>
          <rPr>
            <sz val="8"/>
            <color indexed="81"/>
            <rFont val="Tahoma"/>
            <family val="2"/>
          </rPr>
          <t>Prior year state tax refund appears here assuming that last year's tax return claimed the state taxes on Federal Schedule A.</t>
        </r>
      </text>
    </comment>
    <comment ref="B34" authorId="0" shapeId="0" xr:uid="{3AE59ECC-5CD6-4F79-A4FA-B3FC80B990EA}">
      <text>
        <r>
          <rPr>
            <sz val="8"/>
            <color indexed="81"/>
            <rFont val="Tahoma"/>
            <family val="2"/>
          </rPr>
          <t>Use this amount to capture any federal and state taxable income not accounted for in the above choices.  Examples include royalties, gambling winnings, pensions, alimony, social security income which is not state tax free, and IRA distributions.</t>
        </r>
      </text>
    </comment>
    <comment ref="B35" authorId="0" shapeId="0" xr:uid="{324C73DC-1356-4A56-AA2F-E9CFB8A329A0}">
      <text>
        <r>
          <rPr>
            <sz val="8"/>
            <color indexed="8"/>
            <rFont val="Tahoma"/>
            <family val="2"/>
          </rPr>
          <t>Used in determining QBI deductions</t>
        </r>
      </text>
    </comment>
    <comment ref="B36" authorId="0" shapeId="0" xr:uid="{3672A787-1030-4915-B280-409F04DCA8B6}">
      <text>
        <r>
          <rPr>
            <sz val="8"/>
            <color indexed="8"/>
            <rFont val="Tahoma"/>
            <family val="2"/>
          </rPr>
          <t>Income for QBI purposes</t>
        </r>
      </text>
    </comment>
    <comment ref="F37" authorId="0" shapeId="0" xr:uid="{AEC01A5C-2ADC-4C8D-9DE9-4976F26D18D3}">
      <text>
        <r>
          <rPr>
            <sz val="8"/>
            <color indexed="81"/>
            <rFont val="Tahoma"/>
            <family val="2"/>
          </rPr>
          <t>Incomes over a certain threshold are subject to having their Schedule A deductions limited by this amount.</t>
        </r>
      </text>
    </comment>
    <comment ref="F38" authorId="0" shapeId="0" xr:uid="{793806D0-C40B-464D-918E-F234389A141C}">
      <text>
        <r>
          <rPr>
            <sz val="8"/>
            <color indexed="81"/>
            <rFont val="Tahoma"/>
            <family val="2"/>
          </rPr>
          <t>The computed amount is the greater of the itemized deductions minus any limitation or that of the standard deduction.</t>
        </r>
      </text>
    </comment>
    <comment ref="F40" authorId="0" shapeId="0" xr:uid="{77D31DC7-30E0-469A-BE7C-8B5547049B32}">
      <text>
        <r>
          <rPr>
            <sz val="8"/>
            <color indexed="81"/>
            <rFont val="Tahoma"/>
            <family val="2"/>
          </rPr>
          <t>Computed automatically as the per dependent amount multiplied by the number of dependents (including oneself).</t>
        </r>
      </text>
    </comment>
    <comment ref="B41" authorId="0" shapeId="0" xr:uid="{AA6A5AB6-C4F2-4981-8164-926810315CE5}">
      <text>
        <r>
          <rPr>
            <sz val="8"/>
            <color indexed="81"/>
            <rFont val="Tahoma"/>
            <family val="2"/>
          </rPr>
          <t>Business expenses taken against Schedule C income are deducted here.</t>
        </r>
      </text>
    </comment>
    <comment ref="F41" authorId="0" shapeId="0" xr:uid="{C7E80FF6-72E3-4E6E-9AD1-410B3BE6BF6E}">
      <text>
        <r>
          <rPr>
            <sz val="8"/>
            <color indexed="81"/>
            <rFont val="Tahoma"/>
            <family val="2"/>
          </rPr>
          <t>Incomes over a certain threshold are subject to having their personal deductions limited by this amount.</t>
        </r>
      </text>
    </comment>
    <comment ref="B42" authorId="0" shapeId="0" xr:uid="{EECF829F-8597-46CE-98F3-6334F19AFDCB}">
      <text>
        <r>
          <rPr>
            <sz val="8"/>
            <color indexed="81"/>
            <rFont val="Tahoma"/>
            <family val="2"/>
          </rPr>
          <t>Automatically computed from SE tax calculation.  1/2 of this tax is allowed as a deduction from Federal income.</t>
        </r>
      </text>
    </comment>
    <comment ref="B43" authorId="0" shapeId="0" xr:uid="{580C59F2-68E6-40ED-8ABC-F80471F3FD07}">
      <text>
        <r>
          <rPr>
            <sz val="8"/>
            <color indexed="81"/>
            <rFont val="Tahoma"/>
            <family val="2"/>
          </rPr>
          <t>A certain percentage (see below) of health insurance premiums are deductable if paid against Schedule C generated income.  Enter your total premiums here and the appropriate percentage will be taken in the total below.</t>
        </r>
      </text>
    </comment>
    <comment ref="B44" authorId="0" shapeId="0" xr:uid="{1DD52303-2CBE-41D1-AE63-2226CF7A5007}">
      <text>
        <r>
          <rPr>
            <sz val="8"/>
            <color indexed="81"/>
            <rFont val="Tahoma"/>
            <family val="2"/>
          </rPr>
          <t>Enter the amount of any IRS cafeteria plan contributions that are allowed as income tax deductions and exempt from FICA and Medicare taxes.</t>
        </r>
      </text>
    </comment>
    <comment ref="F44" authorId="0" shapeId="0" xr:uid="{59DDADAE-C14D-49D5-98F2-C42957A2FB5B}">
      <text>
        <r>
          <rPr>
            <sz val="8"/>
            <color indexed="81"/>
            <rFont val="Tahoma"/>
            <family val="2"/>
          </rPr>
          <t>Qualified business income deduction per Schedule 199A.  For instructions on what value to enter here, see IRS Publication 535.
Starting in calendar year 2020, the Federal CARES Act allows an above the line maximum of $300 in charitable contributions for non-itemized filers ($600 for married joint filers), a portion of which can appear here.</t>
        </r>
      </text>
    </comment>
    <comment ref="B46" authorId="0" shapeId="0" xr:uid="{5D6C89C7-DF78-497E-B286-CEA40FB9F0CD}">
      <text>
        <r>
          <rPr>
            <sz val="8"/>
            <color indexed="81"/>
            <rFont val="Tahoma"/>
            <family val="2"/>
          </rPr>
          <t>Other types of deductions not accounted for above can appear here.  Examples include deductable IRA/401(k)/Keogh/SEP/SIMPLE contributions, medical savings account (MSA) deductions, qualified moving expenses, and alimony paid.</t>
        </r>
      </text>
    </comment>
    <comment ref="F49" authorId="0" shapeId="0" xr:uid="{43BA682B-D357-4BC4-B3DA-0B4869F28732}">
      <text>
        <r>
          <rPr>
            <sz val="8"/>
            <color indexed="81"/>
            <rFont val="Tahoma"/>
            <family val="2"/>
          </rPr>
          <t>This computation provides the income tax owed on the taxable income computed.</t>
        </r>
      </text>
    </comment>
    <comment ref="F50" authorId="0" shapeId="0" xr:uid="{F4936866-B19B-40BB-8BC6-38194B59FD6B}">
      <text>
        <r>
          <rPr>
            <sz val="8"/>
            <color indexed="81"/>
            <rFont val="Tahoma"/>
            <family val="2"/>
          </rPr>
          <t>Other types of taxes not accounted for above can appear here.  Examples include early withdrawal penalties on reitrement account savings.</t>
        </r>
      </text>
    </comment>
    <comment ref="F51" authorId="0" shapeId="0" xr:uid="{2D09407E-0952-47FB-B675-F8C1A482A100}">
      <text>
        <r>
          <rPr>
            <sz val="8"/>
            <color indexed="81"/>
            <rFont val="Tahoma"/>
            <family val="2"/>
          </rPr>
          <t>Medicare tax withheld from W2 income sources.</t>
        </r>
      </text>
    </comment>
    <comment ref="F52" authorId="0" shapeId="0" xr:uid="{12C1EC0C-F4A9-494F-A71D-B62FA545C151}">
      <text>
        <r>
          <rPr>
            <sz val="8"/>
            <color indexed="81"/>
            <rFont val="Tahoma"/>
            <family val="2"/>
          </rPr>
          <t>Medicare surtax withheld affecting high income earners regardless of filing status.  This amount applies to earned income streams (W-2 and Schedule C).</t>
        </r>
      </text>
    </comment>
    <comment ref="F53" authorId="1" shapeId="0" xr:uid="{2B3E834D-6327-4019-93A4-ADF11814CC9A}">
      <text>
        <r>
          <rPr>
            <sz val="9"/>
            <color indexed="81"/>
            <rFont val="Tahoma"/>
            <family val="2"/>
          </rPr>
          <t>Medicare surtax affecting high income earners regardless of filing status.  This amount applies to the lesser of MAPI and NII exceeding the threshold.  This amount is NOT withheld.</t>
        </r>
      </text>
    </comment>
    <comment ref="F54" authorId="0" shapeId="0" xr:uid="{DF853169-25B0-49A0-8DA7-30E8826693F0}">
      <text>
        <r>
          <rPr>
            <sz val="8"/>
            <color indexed="81"/>
            <rFont val="Tahoma"/>
            <family val="2"/>
          </rPr>
          <t>This computation provides the amount of FICA tax automatically withheld from W2 income.  It does not result in additional taxes owed, but may result in an overpayment of maximum FICA tax if more than one W2 income source exists.</t>
        </r>
      </text>
    </comment>
    <comment ref="F55" authorId="0" shapeId="0" xr:uid="{5F358DF7-84C2-407B-AB93-40150D9B5AC0}">
      <text>
        <r>
          <rPr>
            <sz val="8"/>
            <color indexed="81"/>
            <rFont val="Tahoma"/>
            <family val="2"/>
          </rPr>
          <t>FICA overpayments can result from having more than one W2 income source.   This computation provides the overpayment amount, if any, which then reduces the taxes owed.</t>
        </r>
      </text>
    </comment>
    <comment ref="B56" authorId="2" shapeId="0" xr:uid="{E426A64F-DDCC-494A-A386-4E5223868984}">
      <text>
        <r>
          <rPr>
            <sz val="8"/>
            <color indexed="81"/>
            <rFont val="Tahoma"/>
            <family val="2"/>
          </rPr>
          <t>This is the net amount of qualified income subject to the capital gains rate tax.</t>
        </r>
      </text>
    </comment>
    <comment ref="B57" authorId="0" shapeId="0" xr:uid="{D21132E0-6985-466B-ADCA-785DE47BE4A2}">
      <text>
        <r>
          <rPr>
            <sz val="8"/>
            <color indexed="81"/>
            <rFont val="Tahoma"/>
            <family val="2"/>
          </rPr>
          <t>This is the threshold of adjusted gross income that must be absorbed by medical/dental deductions.</t>
        </r>
      </text>
    </comment>
    <comment ref="F57" authorId="0" shapeId="0" xr:uid="{5BB8AA45-95C0-46D2-B742-B0FBCF467B85}">
      <text>
        <r>
          <rPr>
            <sz val="8"/>
            <color indexed="81"/>
            <rFont val="Tahoma"/>
            <family val="2"/>
          </rPr>
          <t>This computation provides the amount of FICA tax owed on Schedule C income.  It takes into account any W2 income earned up to the maximum FICA amount.</t>
        </r>
      </text>
    </comment>
    <comment ref="B58" authorId="0" shapeId="0" xr:uid="{6AD6EB78-A607-4D87-BDEB-53418C13C6B6}">
      <text>
        <r>
          <rPr>
            <sz val="8"/>
            <color indexed="81"/>
            <rFont val="Tahoma"/>
            <family val="2"/>
          </rPr>
          <t>This is the threshold of adjusted gross income that must be absorbed by miscellaneous deductions.</t>
        </r>
      </text>
    </comment>
    <comment ref="F58" authorId="0" shapeId="0" xr:uid="{C9EDD6DE-45F7-46F0-BC50-8DDCE23EF0DD}">
      <text>
        <r>
          <rPr>
            <sz val="8"/>
            <color indexed="81"/>
            <rFont val="Tahoma"/>
            <family val="2"/>
          </rPr>
          <t>This computation provides the medicare tax owed on Schedule C income.</t>
        </r>
      </text>
    </comment>
    <comment ref="B59" authorId="0" shapeId="0" xr:uid="{03F6AA47-3577-4E53-AA31-2F0FCF5058C9}">
      <text>
        <r>
          <rPr>
            <sz val="8"/>
            <color indexed="81"/>
            <rFont val="Tahoma"/>
            <family val="2"/>
          </rPr>
          <t>This is the computed amount of allowed medical and miscellaneous deductions beyond the threshold limitations of Federal Schedule A.</t>
        </r>
      </text>
    </comment>
    <comment ref="B60" authorId="2" shapeId="0" xr:uid="{AE8768BC-5F27-4DE6-8EDC-B01C62DBFA6A}">
      <text>
        <r>
          <rPr>
            <sz val="8"/>
            <color indexed="81"/>
            <rFont val="Tahoma"/>
            <family val="2"/>
          </rPr>
          <t>This is the amount of cash and noncash donations made which are allowed as deductions.  At a minimum, donations are limited to 50% of federal AGI.</t>
        </r>
      </text>
    </comment>
    <comment ref="B61" authorId="2" shapeId="0" xr:uid="{9B74A53F-5C1B-48CD-817C-BCAD9EE53FE9}">
      <text>
        <r>
          <rPr>
            <sz val="8"/>
            <color indexed="81"/>
            <rFont val="Tahoma"/>
            <family val="2"/>
          </rPr>
          <t>This is the amount of cash and noncash donations made which are allowed as deductions.  At a minimum, donations are limited to 50% of federal AGI.</t>
        </r>
      </text>
    </comment>
    <comment ref="F61" authorId="0" shapeId="0" xr:uid="{0596D24E-945E-472E-B8B1-04982568C021}">
      <text>
        <r>
          <rPr>
            <sz val="8"/>
            <color indexed="81"/>
            <rFont val="Tahoma"/>
            <family val="2"/>
          </rPr>
          <t>This is a combination of income and self-employment (SE) taxes owed.</t>
        </r>
      </text>
    </comment>
    <comment ref="B62" authorId="0" shapeId="0" xr:uid="{67829D53-79D9-4534-BCB4-6D95E323CC2D}">
      <text>
        <r>
          <rPr>
            <sz val="8"/>
            <color indexed="81"/>
            <rFont val="Tahoma"/>
            <family val="2"/>
          </rPr>
          <t>This amount is the gross total of all income streams minus the total of all taxes owed (even though those taxes may not yet have been paid to date).</t>
        </r>
      </text>
    </comment>
    <comment ref="F62" authorId="0" shapeId="0" xr:uid="{20FA5687-9444-4DAC-8E33-573110C00B5D}">
      <text>
        <r>
          <rPr>
            <sz val="8"/>
            <color indexed="81"/>
            <rFont val="Tahoma"/>
            <family val="2"/>
          </rPr>
          <t>This is the total tax owed, taking into account any additional sums owed by the AMT.</t>
        </r>
      </text>
    </comment>
    <comment ref="F64" authorId="0" shapeId="0" xr:uid="{A066D0D9-CBF9-4BBE-BF76-1335F825066A}">
      <text>
        <r>
          <rPr>
            <sz val="8"/>
            <color indexed="81"/>
            <rFont val="Tahoma"/>
            <family val="2"/>
          </rPr>
          <t>This amount should be the total of all federal income taxes withheld from W2 income.  You may want to include the F51 amount here since it is withheld and included in the F59 amount.</t>
        </r>
      </text>
    </comment>
    <comment ref="F65" authorId="2" shapeId="0" xr:uid="{DD74258C-63BA-40EE-A2F9-A117626078D3}">
      <text>
        <r>
          <rPr>
            <sz val="8"/>
            <color indexed="81"/>
            <rFont val="Tahoma"/>
            <family val="2"/>
          </rPr>
          <t>Include the amount of AMT deferral tax paid in the previous year that qualifies as a carryforward for this year.</t>
        </r>
      </text>
    </comment>
    <comment ref="B66" authorId="2" shapeId="0" xr:uid="{2E8B75B1-E8D4-41B2-B57B-883604452D0D}">
      <text>
        <r>
          <rPr>
            <sz val="8"/>
            <color indexed="81"/>
            <rFont val="Tahoma"/>
            <family val="2"/>
          </rPr>
          <t>Deduction. (non-SSTBs are not subject to this limit, but there are other limits beyond the scope of this spreadsheet, including W-2 wages-based for S Corps)
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t>
        </r>
      </text>
    </comment>
    <comment ref="F66" authorId="2" shapeId="0" xr:uid="{172DD4FA-F60C-4D4C-A81B-2A630BDB2AA6}">
      <text>
        <r>
          <rPr>
            <sz val="8"/>
            <color indexed="81"/>
            <rFont val="Tahoma"/>
            <family val="2"/>
          </rPr>
          <t xml:space="preserve">Include any tax credits you qualify for which are not accounted for elsewhere. </t>
        </r>
      </text>
    </comment>
    <comment ref="F67" authorId="2" shapeId="0" xr:uid="{B6131ACD-5338-4775-98EF-3CC53CEBFA12}">
      <text>
        <r>
          <rPr>
            <sz val="8"/>
            <color indexed="81"/>
            <rFont val="Tahoma"/>
            <family val="2"/>
          </rPr>
          <t>This computed amount determines the child tax credit that one is eligible to receive.  This credit is then subject to the limit of tax due computed below.</t>
        </r>
      </text>
    </comment>
    <comment ref="F68" authorId="0" shapeId="0" xr:uid="{A45DEA67-8FAE-4C8B-8417-FB3B7A69428C}">
      <text>
        <r>
          <rPr>
            <sz val="8"/>
            <color indexed="81"/>
            <rFont val="Tahoma"/>
            <family val="2"/>
          </rPr>
          <t>This computed amount, if positive, means that additional federal taxes are owed which should be paid at quarterly intervals using form 1040-ES.  If zero or negative, it means that a tax overpayment is in effect.  The child tax credit is factored into this amount</t>
        </r>
      </text>
    </comment>
    <comment ref="B74" authorId="0" shapeId="0" xr:uid="{B73C8571-1D1C-4FF3-95AC-AF771CAE0C9C}">
      <text>
        <r>
          <rPr>
            <sz val="8"/>
            <color indexed="81"/>
            <rFont val="Tahoma"/>
            <family val="2"/>
          </rPr>
          <t>This figure represents the number of dependents listed on the form.  The taxpayer is usually a dependent unless he or she is being claimed on someone else's tax return.</t>
        </r>
      </text>
    </comment>
    <comment ref="B75" authorId="0" shapeId="0" xr:uid="{2C122431-DB0D-4270-BFE6-85930E35F0B5}">
      <text>
        <r>
          <rPr>
            <sz val="8"/>
            <color indexed="81"/>
            <rFont val="Tahoma"/>
            <family val="2"/>
          </rPr>
          <t>Enter 1 if blind, 0 otherwise.</t>
        </r>
      </text>
    </comment>
    <comment ref="B76" authorId="0" shapeId="0" xr:uid="{28DBB75E-0B82-476C-ADAA-D5A5802BBC8E}">
      <text>
        <r>
          <rPr>
            <sz val="8"/>
            <color indexed="81"/>
            <rFont val="Tahoma"/>
            <family val="2"/>
          </rPr>
          <t>Enter 1 if 65 or older, 0 otherwise.</t>
        </r>
      </text>
    </comment>
    <comment ref="B77" authorId="0" shapeId="0" xr:uid="{AB8B10F1-F19E-4EE9-A917-A6DF0D8BF137}">
      <text>
        <r>
          <rPr>
            <sz val="8"/>
            <color indexed="81"/>
            <rFont val="Tahoma"/>
            <family val="2"/>
          </rPr>
          <t>If "YES", the W2 incomes are assumed to come from one person.  If "NO", each W2 income is assumed to come from a different person.  This affects FICA tax overpayment and is meaningful only for a joint filing.</t>
        </r>
      </text>
    </comment>
    <comment ref="B78" authorId="0" shapeId="0" xr:uid="{8D08416A-3164-4F52-B5E9-F0EA5BEA0FD6}">
      <text>
        <r>
          <rPr>
            <sz val="8"/>
            <color indexed="81"/>
            <rFont val="Tahoma"/>
            <family val="2"/>
          </rPr>
          <t>If "YES", the federal tax due computations will be rounded to the nearest dollar.</t>
        </r>
      </text>
    </comment>
    <comment ref="B79" authorId="0" shapeId="0" xr:uid="{32565750-017B-4108-896E-30EB8EA89A3A}">
      <text>
        <r>
          <rPr>
            <sz val="8"/>
            <color indexed="81"/>
            <rFont val="Tahoma"/>
            <family val="2"/>
          </rPr>
          <t>Number of dependents for the child tax credit can be overridden.</t>
        </r>
      </text>
    </comment>
    <comment ref="B80" authorId="0" shapeId="0" xr:uid="{D87BB6BF-35EC-41C1-AF73-9441ECB1B4FF}">
      <text>
        <r>
          <rPr>
            <sz val="10"/>
            <color indexed="8"/>
            <rFont val="Arial"/>
            <family val="2"/>
          </rPr>
          <t>Section 199A qualified business income (QBI) deduction is a </t>
        </r>
        <r>
          <rPr>
            <b/>
            <sz val="8"/>
            <color indexed="8"/>
            <rFont val="Arial"/>
            <family val="2"/>
          </rPr>
          <t>20% deduction off taxable income</t>
        </r>
        <r>
          <rPr>
            <sz val="8"/>
            <color indexed="8"/>
            <rFont val="Arial"/>
            <family val="2"/>
          </rPr>
          <t xml:space="preserve">
</t>
        </r>
        <r>
          <rPr>
            <sz val="10"/>
            <color indexed="8"/>
            <rFont val="Arial"/>
            <family val="2"/>
          </rPr>
          <t>applying to eligible self-employed (Sch. C/1099-NEC),</t>
        </r>
        <r>
          <rPr>
            <sz val="8"/>
            <color indexed="8"/>
            <rFont val="Arial"/>
            <family val="2"/>
          </rPr>
          <t xml:space="preserve">
</t>
        </r>
        <r>
          <rPr>
            <sz val="10"/>
            <color indexed="8"/>
            <rFont val="Arial"/>
            <family val="2"/>
          </rPr>
          <t>small-business owners (LLC/S-corp),</t>
        </r>
        <r>
          <rPr>
            <sz val="10"/>
            <color indexed="8"/>
            <rFont val="Arial"/>
            <family val="2"/>
          </rPr>
          <t xml:space="preserve"> and qualifying REIT and pass-through partnership distributions</t>
        </r>
      </text>
    </comment>
    <comment ref="B81" authorId="0" shapeId="0" xr:uid="{9EECF52D-768D-4336-AEBA-568CC31BC71B}">
      <text>
        <r>
          <rPr>
            <u/>
            <sz val="8"/>
            <color indexed="8"/>
            <rFont val="Arial"/>
            <family val="2"/>
          </rPr>
          <t>Specified service trades or businesses (SSTBs)</t>
        </r>
        <r>
          <rPr>
            <sz val="8"/>
            <color indexed="8"/>
            <rFont val="Arial"/>
            <family val="2"/>
          </rPr>
          <t xml:space="preserve"> are:
</t>
        </r>
        <r>
          <rPr>
            <sz val="8"/>
            <color indexed="8"/>
            <rFont val="Arial"/>
            <family val="2"/>
          </rPr>
          <t>1.Trades or businesses performing services in the fields of health, law, accounting, actuarial science, performing arts, consulting, athletics, financial services, brokerage services, or any trade or business </t>
        </r>
        <r>
          <rPr>
            <b/>
            <sz val="8"/>
            <color indexed="8"/>
            <rFont val="Arial"/>
            <family val="2"/>
          </rPr>
          <t>where the principal asset of that trade or business is the reputation or skill of one or more of its employees</t>
        </r>
        <r>
          <rPr>
            <sz val="8"/>
            <color indexed="8"/>
            <rFont val="Arial"/>
            <family val="2"/>
          </rPr>
          <t xml:space="preserve">
See Sec. 1202(e)(3)(A) for list; however,
</t>
        </r>
        <r>
          <rPr>
            <sz val="8"/>
            <color indexed="8"/>
            <rFont val="Arial"/>
            <family val="2"/>
          </rPr>
          <t>TCJA specifically excluded </t>
        </r>
        <r>
          <rPr>
            <b/>
            <sz val="8"/>
            <color indexed="8"/>
            <rFont val="Arial"/>
            <family val="2"/>
          </rPr>
          <t>engineering &amp; architecture</t>
        </r>
        <r>
          <rPr>
            <sz val="8"/>
            <color indexed="8"/>
            <rFont val="Arial"/>
            <family val="2"/>
          </rPr>
          <t>:</t>
        </r>
        <r>
          <rPr>
            <sz val="8"/>
            <color indexed="8"/>
            <rFont val="Arial"/>
            <family val="2"/>
          </rPr>
          <t xml:space="preserve">
</t>
        </r>
        <r>
          <rPr>
            <i/>
            <sz val="8"/>
            <color indexed="8"/>
            <rFont val="Arial"/>
            <family val="2"/>
          </rPr>
          <t>Software engineers, architects, etc. had effective lobbyists. They are </t>
        </r>
        <r>
          <rPr>
            <b/>
            <i/>
            <sz val="8"/>
            <color indexed="8"/>
            <rFont val="Arial"/>
            <family val="2"/>
          </rPr>
          <t>not</t>
        </r>
        <r>
          <rPr>
            <i/>
            <sz val="8"/>
            <color indexed="8"/>
            <rFont val="Arial"/>
            <family val="2"/>
          </rPr>
          <t> an SSTB for QBID!</t>
        </r>
        <r>
          <rPr>
            <sz val="8"/>
            <color indexed="8"/>
            <rFont val="Arial"/>
            <family val="2"/>
          </rPr>
          <t xml:space="preserve">
or
</t>
        </r>
        <r>
          <rPr>
            <sz val="8"/>
            <color indexed="8"/>
            <rFont val="Arial"/>
            <family val="2"/>
          </rPr>
          <t>2. Any trade or business that involves the performance of services that consist of investing and investment management, trading, or dealing in securities described in Sec. 475(c)(2), partnership interests, or commodities described in Sec. 475(e)(2) (Sec. 199A(d)(2)(B)).
If you are unsure, it's more conservative to </t>
        </r>
        <r>
          <rPr>
            <u/>
            <sz val="8"/>
            <color indexed="8"/>
            <rFont val="Arial"/>
            <family val="2"/>
          </rPr>
          <t>leave as YES</t>
        </r>
        <r>
          <rPr>
            <sz val="8"/>
            <color indexed="8"/>
            <rFont val="Arial"/>
            <family val="2"/>
          </rPr>
          <t xml:space="preserve">.
</t>
        </r>
        <r>
          <rPr>
            <sz val="8"/>
            <color indexed="8"/>
            <rFont val="Arial"/>
            <family val="2"/>
          </rPr>
          <t xml:space="preserve">
</t>
        </r>
        <r>
          <rPr>
            <sz val="8"/>
            <color indexed="8"/>
            <rFont val="Arial"/>
            <family val="2"/>
          </rPr>
          <t xml:space="preserve">https://www.journalofaccountancy.com/issues/2018/may/sec-199a-deduction-for-qualified-business-income.html#:~:text=to%20the%20words%20%27-,engineering%2C%20architecture,-%2C%27)%20...%20or%20which%20involves
</t>
        </r>
      </text>
    </comment>
    <comment ref="F83" authorId="0" shapeId="0" xr:uid="{FA234091-64A1-47F5-B03C-8391D192E3AC}">
      <text>
        <r>
          <rPr>
            <sz val="8"/>
            <color indexed="81"/>
            <rFont val="Tahoma"/>
            <family val="2"/>
          </rPr>
          <t>Sample cell note.</t>
        </r>
      </text>
    </comment>
    <comment ref="B106" authorId="0" shapeId="0" xr:uid="{075D4F67-1F6F-43DB-85EE-FF57084F4C76}">
      <text>
        <r>
          <rPr>
            <sz val="8"/>
            <color indexed="81"/>
            <rFont val="Tahoma"/>
            <family val="2"/>
          </rPr>
          <t>This is the maximum tax rate applied to all income that is classified as long term investment income held longer than 12 months but less than 60 months.</t>
        </r>
      </text>
    </comment>
    <comment ref="B107" authorId="0" shapeId="0" xr:uid="{172543BC-5BF5-4C2A-93E6-FECDA1568F12}">
      <text>
        <r>
          <rPr>
            <sz val="8"/>
            <color indexed="81"/>
            <rFont val="Tahoma"/>
            <family val="2"/>
          </rPr>
          <t>This is the capital gains tax rate for assets acquired after 1/1/2001, which are then held for longer than 60 months.</t>
        </r>
      </text>
    </comment>
    <comment ref="B108" authorId="0" shapeId="0" xr:uid="{34C22B2D-4755-4292-8DF9-43BF7AE6A096}">
      <text>
        <r>
          <rPr>
            <sz val="8"/>
            <color indexed="81"/>
            <rFont val="Tahoma"/>
            <family val="2"/>
          </rPr>
          <t>This capital gains rate applies to high income earners who exceed the taxable income threshold.</t>
        </r>
      </text>
    </comment>
    <comment ref="B109" authorId="2" shapeId="0" xr:uid="{9CAEA541-F441-441A-B1A6-11B0EAFAF997}">
      <text>
        <r>
          <rPr>
            <sz val="8"/>
            <color indexed="81"/>
            <rFont val="Tahoma"/>
            <family val="2"/>
          </rPr>
          <t>Taxable income in excess of this amount is taxed at the capital gains high income rate instead of the normal rate.</t>
        </r>
      </text>
    </comment>
    <comment ref="B110" authorId="0" shapeId="0" xr:uid="{E5722D0C-2A11-4ACC-9ADD-CAA07EA9B480}">
      <text>
        <r>
          <rPr>
            <sz val="8"/>
            <color indexed="81"/>
            <rFont val="Tahoma"/>
            <family val="2"/>
          </rPr>
          <t>Investment income surtax rate.</t>
        </r>
      </text>
    </comment>
    <comment ref="B111" authorId="0" shapeId="0" xr:uid="{073BA938-1DE5-4256-8E28-71B8C809157A}">
      <text>
        <r>
          <rPr>
            <sz val="8"/>
            <color indexed="81"/>
            <rFont val="Tahoma"/>
            <family val="2"/>
          </rPr>
          <t>Income over this amount is subject to capital gains and Medicare surtaxes.</t>
        </r>
      </text>
    </comment>
    <comment ref="B112" authorId="0" shapeId="0" xr:uid="{7781F119-794B-46E7-9B21-D2A9980AA1B0}">
      <text>
        <r>
          <rPr>
            <sz val="8"/>
            <color indexed="81"/>
            <rFont val="Tahoma"/>
            <family val="2"/>
          </rPr>
          <t>This deduction is taken only if the itemized deductions listed are less than this amount.</t>
        </r>
      </text>
    </comment>
    <comment ref="B113" authorId="0" shapeId="0" xr:uid="{1D1B3A4D-85D8-4B26-9B80-90F0287E1EB0}">
      <text>
        <r>
          <rPr>
            <sz val="8"/>
            <color indexed="81"/>
            <rFont val="Tahoma"/>
            <family val="2"/>
          </rPr>
          <t>This deduction adds to the standard deduction if blind and/or over 65.</t>
        </r>
      </text>
    </comment>
    <comment ref="B114" authorId="0" shapeId="0" xr:uid="{3943CD0E-98D3-4466-86D6-BA9350B30294}">
      <text>
        <r>
          <rPr>
            <sz val="8"/>
            <color indexed="81"/>
            <rFont val="Tahoma"/>
            <family val="2"/>
          </rPr>
          <t>This deduction comprises the income reduction amount per dependent claimed on the tax return.</t>
        </r>
      </text>
    </comment>
    <comment ref="B115" authorId="0" shapeId="0" xr:uid="{315E84E4-C6EB-475C-8EA2-6A81FA645B51}">
      <text>
        <r>
          <rPr>
            <sz val="8"/>
            <color indexed="81"/>
            <rFont val="Tahoma"/>
            <family val="2"/>
          </rPr>
          <t>This number is used solely as a divisor in  a ceiling function to compute a limitation on personal deductions.</t>
        </r>
      </text>
    </comment>
    <comment ref="B116" authorId="0" shapeId="0" xr:uid="{5492CF53-D380-4A33-894C-AFAE72D49773}">
      <text>
        <r>
          <rPr>
            <sz val="8"/>
            <color indexed="81"/>
            <rFont val="Tahoma"/>
            <family val="2"/>
          </rPr>
          <t>Any income above this amount causes personal deductions to be limited.</t>
        </r>
      </text>
    </comment>
    <comment ref="B117" authorId="0" shapeId="0" xr:uid="{AE4A7CF2-0E40-4C2E-8042-B302D09C5D2A}">
      <text>
        <r>
          <rPr>
            <sz val="8"/>
            <color indexed="81"/>
            <rFont val="Tahoma"/>
            <family val="2"/>
          </rPr>
          <t>This rate determines the amount of limitation allowed for claimed personal deductions.</t>
        </r>
      </text>
    </comment>
    <comment ref="B118" authorId="2" shapeId="0" xr:uid="{6D5D8004-7A2C-48F7-A012-C3683969D1A4}">
      <text>
        <r>
          <rPr>
            <sz val="8"/>
            <color indexed="81"/>
            <rFont val="Tahoma"/>
            <family val="2"/>
          </rPr>
          <t>This is a maximum per-child tax credit and is automatically computed.</t>
        </r>
      </text>
    </comment>
    <comment ref="B119" authorId="2" shapeId="0" xr:uid="{382BDE5F-810A-46AD-BE6E-5094F67B9CF5}">
      <text>
        <r>
          <rPr>
            <sz val="8"/>
            <color indexed="81"/>
            <rFont val="Tahoma"/>
            <family val="2"/>
          </rPr>
          <t>Federal adjusted gross income over this amount causes the child tax credit to be limited.</t>
        </r>
      </text>
    </comment>
    <comment ref="B120" authorId="2" shapeId="0" xr:uid="{B0B59610-A6B8-4E0A-84BC-4487F6D18A48}">
      <text>
        <r>
          <rPr>
            <sz val="8"/>
            <color indexed="81"/>
            <rFont val="Tahoma"/>
            <family val="2"/>
          </rPr>
          <t>Used soley in the computation of a limited child tax credit.</t>
        </r>
      </text>
    </comment>
    <comment ref="B122" authorId="0" shapeId="0" xr:uid="{1DE03445-C551-4C6F-9F4C-4FFB2999C780}">
      <text>
        <r>
          <rPr>
            <sz val="8"/>
            <color indexed="81"/>
            <rFont val="Tahoma"/>
            <family val="2"/>
          </rPr>
          <t>Any income above this amount causes the Schedule A deductions to be limited.</t>
        </r>
      </text>
    </comment>
    <comment ref="B123" authorId="0" shapeId="0" xr:uid="{BCA24F17-05C8-4524-9567-E8E97A49A994}">
      <text>
        <r>
          <rPr>
            <sz val="8"/>
            <color indexed="81"/>
            <rFont val="Tahoma"/>
            <family val="2"/>
          </rPr>
          <t>This rate determines the limitation in Schedule A deductions above a threshold income level.</t>
        </r>
      </text>
    </comment>
    <comment ref="B124" authorId="0" shapeId="0" xr:uid="{BEFC4F08-E596-462B-84AF-9A371CBA6712}">
      <text>
        <r>
          <rPr>
            <sz val="8"/>
            <color indexed="81"/>
            <rFont val="Tahoma"/>
            <family val="2"/>
          </rPr>
          <t>This rate determines the limitation in Schedule A deductions above a threshold income level.</t>
        </r>
      </text>
    </comment>
    <comment ref="B125" authorId="2" shapeId="0" xr:uid="{A085A9BA-FCBF-4412-A580-13EFF2BA8B51}">
      <text>
        <r>
          <rPr>
            <sz val="8"/>
            <color indexed="81"/>
            <rFont val="Tahoma"/>
            <family val="2"/>
          </rPr>
          <t>Used soley in the computation of a limited child tax credit.</t>
        </r>
      </text>
    </comment>
    <comment ref="B126" authorId="0" shapeId="0" xr:uid="{24862B20-839E-4AB6-B4B5-57F1F0F21AFE}">
      <text>
        <r>
          <rPr>
            <sz val="8"/>
            <color indexed="81"/>
            <rFont val="Tahoma"/>
            <family val="2"/>
          </rPr>
          <t>Schedule C income is subject to both FICA and medicare tax.  This tax rate is the medicare portion owed on all Schedule C income.</t>
        </r>
      </text>
    </comment>
    <comment ref="B127" authorId="0" shapeId="0" xr:uid="{0FBE8AF3-53FB-4594-94DD-7AC5F2B6EC79}">
      <text>
        <r>
          <rPr>
            <sz val="8"/>
            <color indexed="81"/>
            <rFont val="Tahoma"/>
            <family val="2"/>
          </rPr>
          <t>This income rate limitation applies to Schedule C income for the purposes of computing FICA and medicare tax owed.</t>
        </r>
      </text>
    </comment>
    <comment ref="B128" authorId="0" shapeId="0" xr:uid="{C7C8B06E-CC1A-45EA-BD99-99BF856B75B6}">
      <text>
        <r>
          <rPr>
            <sz val="8"/>
            <color indexed="81"/>
            <rFont val="Tahoma"/>
            <family val="2"/>
          </rPr>
          <t>This denotes the maximum medicare tax owed.  An amount of zero (0.00) indicates that there is no maximum tax.</t>
        </r>
      </text>
    </comment>
    <comment ref="B129" authorId="0" shapeId="0" xr:uid="{8F5E8C3F-1C85-4F4B-B99B-E9D6334A89F8}">
      <text>
        <r>
          <rPr>
            <sz val="8"/>
            <color indexed="81"/>
            <rFont val="Tahoma"/>
            <family val="2"/>
          </rPr>
          <t>Federal Medicare tax rate applied to W2 income sources (one half of the SE tax rate).</t>
        </r>
      </text>
    </comment>
    <comment ref="B130" authorId="0" shapeId="0" xr:uid="{425759FD-644E-4945-B6CA-365047B5C806}">
      <text>
        <r>
          <rPr>
            <sz val="8"/>
            <color indexed="81"/>
            <rFont val="Tahoma"/>
            <family val="2"/>
          </rPr>
          <t>Federal Medicare surtax rate for income exceeding the ACA Surtax Cliff amount.</t>
        </r>
      </text>
    </comment>
    <comment ref="B131" authorId="0" shapeId="0" xr:uid="{1357357F-849F-4327-B193-F10E9D51FCC5}">
      <text>
        <r>
          <rPr>
            <sz val="8"/>
            <color indexed="81"/>
            <rFont val="Tahoma"/>
            <family val="2"/>
          </rPr>
          <t>This tax rate is used in computing Schedule C income FICA tax owed.</t>
        </r>
      </text>
    </comment>
    <comment ref="B132" authorId="0" shapeId="0" xr:uid="{64D15BD7-A69E-40AB-88B2-6EB8CCE9E53A}">
      <text>
        <r>
          <rPr>
            <sz val="8"/>
            <color indexed="81"/>
            <rFont val="Tahoma"/>
            <family val="2"/>
          </rPr>
          <t>This is the maximum FICA tax owed by all sources of income earned.  0.00 indicates that there is no maximum tax ceiling.</t>
        </r>
      </text>
    </comment>
    <comment ref="B133" authorId="0" shapeId="0" xr:uid="{F63591B8-51FF-4CAF-84E8-E13045460A27}">
      <text>
        <r>
          <rPr>
            <sz val="8"/>
            <color indexed="81"/>
            <rFont val="Tahoma"/>
            <family val="2"/>
          </rPr>
          <t>Maximum income level subject to FICA tax.  An amount specified as zero (0.00) means that there is no maximum income limitation.</t>
        </r>
      </text>
    </comment>
    <comment ref="B134" authorId="0" shapeId="0" xr:uid="{4839F325-3A37-4098-8056-2C8A7EE6150A}">
      <text>
        <r>
          <rPr>
            <sz val="8"/>
            <color indexed="81"/>
            <rFont val="Tahoma"/>
            <family val="2"/>
          </rPr>
          <t>SE tax is not owed if the income (after applying the SE income limitation rate) is less than this amount.</t>
        </r>
      </text>
    </comment>
    <comment ref="B135" authorId="0" shapeId="0" xr:uid="{9CB8D744-A325-41E8-B5E3-0E59B99AECFF}">
      <text>
        <r>
          <rPr>
            <sz val="8"/>
            <color indexed="81"/>
            <rFont val="Tahoma"/>
            <family val="2"/>
          </rPr>
          <t>FICA tax rate applied to W2 income sources (one half of the SE tax rate).</t>
        </r>
      </text>
    </comment>
    <comment ref="B136" authorId="0" shapeId="0" xr:uid="{4D3DD1B1-C78A-45E3-A039-FC0D7D2735C8}">
      <text>
        <r>
          <rPr>
            <sz val="8"/>
            <color indexed="81"/>
            <rFont val="Tahoma"/>
            <family val="2"/>
          </rPr>
          <t>SE income used to pay for health insurance premiums are deductable at this rate.</t>
        </r>
      </text>
    </comment>
    <comment ref="B137" authorId="0" shapeId="0" xr:uid="{843E6C6E-8A9F-4AF3-9498-4E89F2D04BEE}">
      <text>
        <r>
          <rPr>
            <sz val="8"/>
            <color indexed="81"/>
            <rFont val="Tahoma"/>
            <family val="2"/>
          </rPr>
          <t>Maximum amount of stock and mutual fund losses allowed in one year.</t>
        </r>
      </text>
    </comment>
    <comment ref="B144" authorId="2" shapeId="0" xr:uid="{F226C111-7ECB-4337-8535-50BB5B116021}">
      <text>
        <r>
          <rPr>
            <sz val="8"/>
            <color indexed="81"/>
            <rFont val="Tahoma"/>
            <family val="2"/>
          </rPr>
          <t>The federal 2020 CARES act allows unlimited charitable contributions through 2021.  In future years, at most 60% of your federal AGI for cash and noncash contributions are deductable.  See IRS publication 526 for details of this limit as well as further limits that may apply to your tax situation.</t>
        </r>
      </text>
    </comment>
    <comment ref="B145" authorId="2" shapeId="0" xr:uid="{6A40ECC9-FA71-448A-8ACE-B5FEEDD4796F}">
      <text>
        <r>
          <rPr>
            <sz val="8"/>
            <color indexed="81"/>
            <rFont val="Tahoma"/>
            <family val="2"/>
          </rPr>
          <t>Starting in 2026, charitable contributions must exceed 0.5% AGI for filers who claim the itemized deduction.</t>
        </r>
      </text>
    </comment>
    <comment ref="B146" authorId="2" shapeId="0" xr:uid="{108C6904-EF1A-4E72-BFE0-E919A2CB03EF}">
      <text>
        <r>
          <rPr>
            <sz val="9"/>
            <color indexed="81"/>
            <rFont val="Tahoma"/>
            <family val="2"/>
          </rPr>
          <t>Starting in 2026, highest bracket filers have their charitable contributions limited by this amount.</t>
        </r>
      </text>
    </comment>
    <comment ref="B147" authorId="2" shapeId="0" xr:uid="{0945CD44-1C28-4FDF-9D40-9BAA72045C68}">
      <text>
        <r>
          <rPr>
            <sz val="9"/>
            <color indexed="81"/>
            <rFont val="Tahoma"/>
            <family val="2"/>
          </rPr>
          <t>Starting in 2026, non-itemizers can deduct up to this amount in charitable giving.</t>
        </r>
      </text>
    </comment>
    <comment ref="B161" authorId="3" shapeId="0" xr:uid="{6DAC0000-DAA8-4FE6-9C9B-E8889C42A274}">
      <text>
        <r>
          <rPr>
            <sz val="10"/>
            <color indexed="8"/>
            <rFont val="Tahoma"/>
            <family val="2"/>
          </rPr>
          <t xml:space="preserve">QBI (qualified business income) from SSTBs is subject to a limitation and phaseout for the calculation of the QBI Deduction. 
</t>
        </r>
        <r>
          <rPr>
            <sz val="10"/>
            <color indexed="8"/>
            <rFont val="Tahoma"/>
            <family val="2"/>
          </rPr>
          <t xml:space="preserve">
</t>
        </r>
        <r>
          <rPr>
            <sz val="10"/>
            <color indexed="8"/>
            <rFont val="Tahoma"/>
            <family val="2"/>
          </rPr>
          <t xml:space="preserve">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
</t>
        </r>
      </text>
    </comment>
    <comment ref="B162" authorId="3" shapeId="0" xr:uid="{34C54542-5524-4F77-8356-C44402E59058}">
      <text>
        <r>
          <rPr>
            <sz val="10"/>
            <color indexed="8"/>
            <rFont val="Tahoma"/>
            <family val="2"/>
          </rPr>
          <t xml:space="preserve">see note above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Geoffrey O. Mendal</author>
    <author>mendal</author>
    <author>Geoff Mendal</author>
    <author>cai</author>
  </authors>
  <commentList>
    <comment ref="B21" authorId="0" shapeId="0" xr:uid="{5E954CF9-7073-496B-B9BC-B37B7BD4CC1F}">
      <text>
        <r>
          <rPr>
            <sz val="8"/>
            <color indexed="81"/>
            <rFont val="Tahoma"/>
            <family val="2"/>
          </rPr>
          <t>W2 income from your primary job.</t>
        </r>
      </text>
    </comment>
    <comment ref="N21" authorId="0" shapeId="0" xr:uid="{090C1BDE-AFFE-492E-AE98-6D27A09CAE07}">
      <text>
        <r>
          <rPr>
            <sz val="8"/>
            <color indexed="81"/>
            <rFont val="Tahoma"/>
            <family val="2"/>
          </rPr>
          <t>These are the adjustments and preferences that are computed automatically from your federal income and expense entries.</t>
        </r>
      </text>
    </comment>
    <comment ref="B22" authorId="0" shapeId="0" xr:uid="{7C0478FC-7432-41CB-A6FB-B79F8F91F132}">
      <text>
        <r>
          <rPr>
            <sz val="8"/>
            <color indexed="81"/>
            <rFont val="Tahoma"/>
            <family val="2"/>
          </rPr>
          <t>W2 income from your second job.</t>
        </r>
      </text>
    </comment>
    <comment ref="F22" authorId="0" shapeId="0" xr:uid="{5D3C8FFB-8497-4812-9762-73EF0733CF8D}">
      <text>
        <r>
          <rPr>
            <sz val="8"/>
            <color indexed="81"/>
            <rFont val="Tahoma"/>
            <family val="2"/>
          </rPr>
          <t>Enter your state income tax liability here.  You may also include state sales taxes paid.</t>
        </r>
      </text>
    </comment>
    <comment ref="N22" authorId="0" shapeId="0" xr:uid="{92D44D77-2B74-4769-98C7-B8DF3DF198AF}">
      <text>
        <r>
          <rPr>
            <sz val="8"/>
            <color indexed="81"/>
            <rFont val="Tahoma"/>
            <family val="2"/>
          </rPr>
          <t>Additional adjustments and preferences can be totaled here as required.  For example, incentive stock options can be added as an adjustment in this cell.</t>
        </r>
      </text>
    </comment>
    <comment ref="B23" authorId="0" shapeId="0" xr:uid="{60E91CFC-46B3-4722-8D0C-C9E2EC4DB21B}">
      <text>
        <r>
          <rPr>
            <sz val="8"/>
            <color indexed="81"/>
            <rFont val="Tahoma"/>
            <family val="2"/>
          </rPr>
          <t>Schedule C income.  SE tax is computed using this income.</t>
        </r>
      </text>
    </comment>
    <comment ref="F23" authorId="0" shapeId="0" xr:uid="{A1B054FC-45CA-4A1D-9BC1-30E3BC9CB8AE}">
      <text>
        <r>
          <rPr>
            <sz val="8"/>
            <color indexed="81"/>
            <rFont val="Tahoma"/>
            <family val="2"/>
          </rPr>
          <t>Any local or city income taxes other than state income tax go here.</t>
        </r>
      </text>
    </comment>
    <comment ref="N23" authorId="0" shapeId="0" xr:uid="{D76239AE-ECF6-4B42-B0EE-BCA3FC413331}">
      <text>
        <r>
          <rPr>
            <sz val="8"/>
            <color indexed="81"/>
            <rFont val="Tahoma"/>
            <family val="2"/>
          </rPr>
          <t>If this cell value is 0, normal capital gains basis will be used when computing AMT.  Use this cell to override this behavior by establishing a dual-basis of capital gains for AMT purposes.</t>
        </r>
      </text>
    </comment>
    <comment ref="B24" authorId="0" shapeId="0" xr:uid="{82BC1D58-5867-4CCB-A55E-044458A34EAA}">
      <text>
        <r>
          <rPr>
            <sz val="8"/>
            <color indexed="81"/>
            <rFont val="Tahoma"/>
            <family val="2"/>
          </rPr>
          <t>Savings account interest earned.</t>
        </r>
      </text>
    </comment>
    <comment ref="F24" authorId="0" shapeId="0" xr:uid="{F8DCEF37-4BD3-476F-9CF0-B2233A179D78}">
      <text>
        <r>
          <rPr>
            <sz val="8"/>
            <color indexed="81"/>
            <rFont val="Tahoma"/>
            <family val="2"/>
          </rPr>
          <t>This amount designates taxes owed for prior years paid in this year.</t>
        </r>
      </text>
    </comment>
    <comment ref="N24" authorId="0" shapeId="0" xr:uid="{57C1CDFB-A7E0-4F0F-AF76-0ED6BDCED5DC}">
      <text>
        <r>
          <rPr>
            <sz val="8"/>
            <color indexed="81"/>
            <rFont val="Tahoma"/>
            <family val="2"/>
          </rPr>
          <t>This is your taxable income for the purposes of computing the AMT.</t>
        </r>
      </text>
    </comment>
    <comment ref="B25" authorId="0" shapeId="0" xr:uid="{A7F611E5-0A38-4C0E-9FD1-1DADA270A7DD}">
      <text>
        <r>
          <rPr>
            <sz val="8"/>
            <color indexed="81"/>
            <rFont val="Tahoma"/>
            <family val="2"/>
          </rPr>
          <t>Savings account interest earned.</t>
        </r>
      </text>
    </comment>
    <comment ref="N25" authorId="0" shapeId="0" xr:uid="{DC60E4F9-1E8E-40BF-B387-D323BD202E1A}">
      <text>
        <r>
          <rPr>
            <sz val="8"/>
            <color indexed="81"/>
            <rFont val="Tahoma"/>
            <family val="2"/>
          </rPr>
          <t>This is the computed exemption amount allowed by the AMT.</t>
        </r>
      </text>
    </comment>
    <comment ref="B26" authorId="0" shapeId="0" xr:uid="{F404A33D-54E7-4280-ABC2-79F9F8C86358}">
      <text>
        <r>
          <rPr>
            <sz val="8"/>
            <color indexed="81"/>
            <rFont val="Tahoma"/>
            <family val="2"/>
          </rPr>
          <t>Money market account interest earned.</t>
        </r>
      </text>
    </comment>
    <comment ref="F26" authorId="0" shapeId="0" xr:uid="{6B3E1FB0-8D75-46D6-92B8-DB8E32F1A28B}">
      <text>
        <r>
          <rPr>
            <sz val="8"/>
            <color indexed="81"/>
            <rFont val="Tahoma"/>
            <family val="2"/>
          </rPr>
          <t>This amount includes taxes paid on personal property such as the taxable portion of automobile license and registration.</t>
        </r>
      </text>
    </comment>
    <comment ref="N26" authorId="0" shapeId="0" xr:uid="{A57C1B3D-AE66-4C6A-AE89-EF041150E2AB}">
      <text>
        <r>
          <rPr>
            <sz val="8"/>
            <color indexed="81"/>
            <rFont val="Tahoma"/>
            <family val="2"/>
          </rPr>
          <t>This is the amount of income subject to the AMT computation.</t>
        </r>
      </text>
    </comment>
    <comment ref="B27" authorId="0" shapeId="0" xr:uid="{E5FC36AD-C30E-4301-B08E-721D2315C1CB}">
      <text>
        <r>
          <rPr>
            <sz val="8"/>
            <color indexed="81"/>
            <rFont val="Tahoma"/>
            <family val="2"/>
          </rPr>
          <t>Money market account interest earned.</t>
        </r>
      </text>
    </comment>
    <comment ref="F27" authorId="0" shapeId="0" xr:uid="{AD33F2EE-6B9F-43F5-9108-54239422EDF5}">
      <text>
        <r>
          <rPr>
            <sz val="8"/>
            <color indexed="81"/>
            <rFont val="Tahoma"/>
            <family val="2"/>
          </rPr>
          <t>Generally, points paid when purchasing a new home are deductable in full, while points paid for a refinance must be amortized over the life of the loan.</t>
        </r>
      </text>
    </comment>
    <comment ref="N27" authorId="0" shapeId="0" xr:uid="{EA123D66-65C9-4A36-BA3A-DAC869E20E58}">
      <text>
        <r>
          <rPr>
            <sz val="8"/>
            <color indexed="81"/>
            <rFont val="Tahoma"/>
            <family val="2"/>
          </rPr>
          <t>This is the computed AMT amount.</t>
        </r>
      </text>
    </comment>
    <comment ref="B28" authorId="0" shapeId="0" xr:uid="{064452C7-8EDF-4C8E-9CE1-C264C0710C16}">
      <text>
        <r>
          <rPr>
            <sz val="8"/>
            <color indexed="81"/>
            <rFont val="Tahoma"/>
            <family val="2"/>
          </rPr>
          <t>Interest from US treasury bills, notes, and bonds.  Federal only taxable social security income can also be placed here.</t>
        </r>
      </text>
    </comment>
    <comment ref="J28" authorId="1" shapeId="0" xr:uid="{0CD8ABFC-0FFC-4000-95FB-2E009F6F78A7}">
      <text>
        <r>
          <rPr>
            <sz val="9"/>
            <color indexed="81"/>
            <rFont val="Tahoma"/>
            <family val="2"/>
          </rPr>
          <t>The percentage computed for tax due divided by taxable income.</t>
        </r>
      </text>
    </comment>
    <comment ref="N28" authorId="0" shapeId="0" xr:uid="{4137549A-639F-45C3-B6B1-2784BAC01BEC}">
      <text>
        <r>
          <rPr>
            <sz val="8"/>
            <color indexed="81"/>
            <rFont val="Tahoma"/>
            <family val="2"/>
          </rPr>
          <t>Use this cell to enter dollar-for-dollar tax credits against the AMT.  For example, the foreign tax credit.</t>
        </r>
      </text>
    </comment>
    <comment ref="B29" authorId="0" shapeId="0" xr:uid="{5D6DB72D-54E5-45D8-B44B-8191F753D98E}">
      <text>
        <r>
          <rPr>
            <sz val="8"/>
            <color indexed="81"/>
            <rFont val="Tahoma"/>
            <family val="2"/>
          </rPr>
          <t>Stock and fund dividends that qualify for the long-term capital gains tax rate appear here.</t>
        </r>
      </text>
    </comment>
    <comment ref="F29" authorId="0" shapeId="0" xr:uid="{8203B9B0-E1E6-4DF7-B9BE-172658679B0F}">
      <text>
        <r>
          <rPr>
            <sz val="8"/>
            <color indexed="81"/>
            <rFont val="Tahoma"/>
            <family val="2"/>
          </rPr>
          <t>If this amount is over $500, then form 8283 must be filed with the return.  If any single donation comprising this amount is over $500, then more parts of form 8283 will be required to be filled out.</t>
        </r>
      </text>
    </comment>
    <comment ref="N29" authorId="0" shapeId="0" xr:uid="{531B5FEF-FBA7-498F-8CAC-552A06DE06B3}">
      <text>
        <r>
          <rPr>
            <sz val="8"/>
            <color indexed="81"/>
            <rFont val="Tahoma"/>
            <family val="2"/>
          </rPr>
          <t>This is the additional tax owed, if any, as a result of the AMT.  If the computed AMT tax is less than the normal income tax, then this value will be zero (no AMT is due).</t>
        </r>
      </text>
    </comment>
    <comment ref="B30" authorId="0" shapeId="0" xr:uid="{2848B94E-D553-474B-8935-4C68DFA500C0}">
      <text>
        <r>
          <rPr>
            <sz val="8"/>
            <color indexed="81"/>
            <rFont val="Tahoma"/>
            <family val="2"/>
          </rPr>
          <t>Stock and fund distributions that are  subject to short term income tax rate appear here.  It is acceptable to match short-term losses here, as long as the end result is 0 or greater.  If your losses exceed your gains, specify the net loss in lieu of gains below.</t>
        </r>
      </text>
    </comment>
    <comment ref="F30" authorId="0" shapeId="0" xr:uid="{74789B46-8103-448D-8FA8-D2907FAD70F9}">
      <text>
        <r>
          <rPr>
            <sz val="8"/>
            <color indexed="81"/>
            <rFont val="Tahoma"/>
            <family val="2"/>
          </rPr>
          <t>Use this amount to compute deductions that are not listed above.  For example, qualified casualty losses  can be included in this figure.</t>
        </r>
      </text>
    </comment>
    <comment ref="B31" authorId="0" shapeId="0" xr:uid="{A26EFB61-55A1-4574-9DC3-45EFCE81AD02}">
      <text>
        <r>
          <rPr>
            <sz val="8"/>
            <color indexed="81"/>
            <rFont val="Tahoma"/>
            <family val="2"/>
          </rPr>
          <t>Stock and fund distributions that are  subject to long term capital gains tax rate appear here.  It is acceptable to match long-term losses here, as long as the end result is 0 or greater.  If your losses exceed your gains, specify the net loss in lieu of gains below.</t>
        </r>
      </text>
    </comment>
    <comment ref="F31" authorId="0" shapeId="0" xr:uid="{D1C3C383-4E3C-4077-BCA1-82106C63229B}">
      <text>
        <r>
          <rPr>
            <sz val="8"/>
            <color indexed="81"/>
            <rFont val="Tahoma"/>
            <family val="2"/>
          </rPr>
          <t>Enter all medical and dental expenses here.  The actual amount allowed will be computed above the 7.5% adjusted gross income threshold.</t>
        </r>
      </text>
    </comment>
    <comment ref="B32" authorId="0" shapeId="0" xr:uid="{2D8B4C3C-33EF-423F-B57A-AF190E175916}">
      <text>
        <r>
          <rPr>
            <sz val="8"/>
            <color indexed="81"/>
            <rFont val="Tahoma"/>
            <family val="2"/>
          </rPr>
          <t>Stock/fund distributions that are subject to the 60 month cap gains tax rate appear here.  This rate goes into effect for purchases made after 1/1/2001, and so the value here should be 0.00.</t>
        </r>
      </text>
    </comment>
    <comment ref="F32" authorId="0" shapeId="0" xr:uid="{547E1E3C-2EAE-441B-B814-A97EE9509B96}">
      <text>
        <r>
          <rPr>
            <sz val="8"/>
            <color indexed="81"/>
            <rFont val="Tahoma"/>
            <family val="2"/>
          </rPr>
          <t>Starting in 2018, the 2% deduction has been eliminated so this value should remain as 0.
Enter all deductions here which will then be computed against a 2% threshold over adjusted gross income.  Examples of such deductions include unreimbursed employee expenses, tax preparation fees, investment expenses, and safe deposit box expenses.</t>
        </r>
      </text>
    </comment>
    <comment ref="B33" authorId="0" shapeId="0" xr:uid="{90C3DBBF-F280-4039-87F0-B2F21E21CE81}">
      <text>
        <r>
          <rPr>
            <sz val="8"/>
            <color indexed="81"/>
            <rFont val="Tahoma"/>
            <family val="2"/>
          </rPr>
          <t>Prior year state tax refund appears here assuming that last year's tax return claimed the state taxes on Federal Schedule A.</t>
        </r>
      </text>
    </comment>
    <comment ref="B34" authorId="0" shapeId="0" xr:uid="{77F1DCDF-B30B-4114-951F-340FD436C8E8}">
      <text>
        <r>
          <rPr>
            <sz val="8"/>
            <color indexed="81"/>
            <rFont val="Tahoma"/>
            <family val="2"/>
          </rPr>
          <t>Use this amount to capture any federal and state taxable income not accounted for in the above choices.  Examples include royalties, gambling winnings, pensions, alimony, social security income which is not state tax free, and IRA distributions.</t>
        </r>
      </text>
    </comment>
    <comment ref="B35" authorId="0" shapeId="0" xr:uid="{98E8F604-A829-4CEB-B36F-7AA0C9084566}">
      <text>
        <r>
          <rPr>
            <sz val="8"/>
            <color indexed="8"/>
            <rFont val="Tahoma"/>
            <family val="2"/>
          </rPr>
          <t>Used in determining QBI deductions</t>
        </r>
      </text>
    </comment>
    <comment ref="B36" authorId="0" shapeId="0" xr:uid="{35FC8258-4C46-4F12-BD44-A0538CE6574E}">
      <text>
        <r>
          <rPr>
            <sz val="8"/>
            <color indexed="8"/>
            <rFont val="Tahoma"/>
            <family val="2"/>
          </rPr>
          <t>Income for QBI purposes</t>
        </r>
      </text>
    </comment>
    <comment ref="F37" authorId="0" shapeId="0" xr:uid="{2DF05835-5B66-4D6B-8E90-50CAE3752C22}">
      <text>
        <r>
          <rPr>
            <sz val="8"/>
            <color indexed="81"/>
            <rFont val="Tahoma"/>
            <family val="2"/>
          </rPr>
          <t>Incomes over a certain threshold are subject to having their Schedule A deductions limited by this amount.</t>
        </r>
      </text>
    </comment>
    <comment ref="F38" authorId="0" shapeId="0" xr:uid="{DCBBF98E-9EA9-4BF9-8E60-77F9DE3DE28D}">
      <text>
        <r>
          <rPr>
            <sz val="8"/>
            <color indexed="81"/>
            <rFont val="Tahoma"/>
            <family val="2"/>
          </rPr>
          <t>The computed amount is the greater of the itemized deductions minus any limitation or that of the standard deduction.</t>
        </r>
      </text>
    </comment>
    <comment ref="F40" authorId="0" shapeId="0" xr:uid="{C6AAF142-4C46-45D0-B913-8999EFCEF4AC}">
      <text>
        <r>
          <rPr>
            <sz val="8"/>
            <color indexed="81"/>
            <rFont val="Tahoma"/>
            <family val="2"/>
          </rPr>
          <t>Computed automatically as the per dependent amount multiplied by the number of dependents (including oneself).</t>
        </r>
      </text>
    </comment>
    <comment ref="B41" authorId="0" shapeId="0" xr:uid="{CBE42954-824D-4075-A654-ADB979B0A592}">
      <text>
        <r>
          <rPr>
            <sz val="8"/>
            <color indexed="81"/>
            <rFont val="Tahoma"/>
            <family val="2"/>
          </rPr>
          <t>Business expenses taken against Schedule C income are deducted here.</t>
        </r>
      </text>
    </comment>
    <comment ref="F41" authorId="0" shapeId="0" xr:uid="{EDBB73E4-0459-40F6-9D96-1E8627DD06CA}">
      <text>
        <r>
          <rPr>
            <sz val="8"/>
            <color indexed="81"/>
            <rFont val="Tahoma"/>
            <family val="2"/>
          </rPr>
          <t>Incomes over a certain threshold are subject to having their personal deductions limited by this amount.</t>
        </r>
      </text>
    </comment>
    <comment ref="B42" authorId="0" shapeId="0" xr:uid="{D9F5FA17-27E6-45A0-A7E5-A738E9E2A6BE}">
      <text>
        <r>
          <rPr>
            <sz val="8"/>
            <color indexed="81"/>
            <rFont val="Tahoma"/>
            <family val="2"/>
          </rPr>
          <t>Automatically computed from SE tax calculation.  1/2 of this tax is allowed as a deduction from Federal income.</t>
        </r>
      </text>
    </comment>
    <comment ref="B43" authorId="0" shapeId="0" xr:uid="{7C98AE41-2907-4E58-B830-09728B46E9C3}">
      <text>
        <r>
          <rPr>
            <sz val="8"/>
            <color indexed="81"/>
            <rFont val="Tahoma"/>
            <family val="2"/>
          </rPr>
          <t>A certain percentage (see below) of health insurance premiums are deductable if paid against Schedule C generated income.  Enter your total premiums here and the appropriate percentage will be taken in the total below.</t>
        </r>
      </text>
    </comment>
    <comment ref="B44" authorId="0" shapeId="0" xr:uid="{C11E3515-4AB4-4741-829B-30936F8BFE96}">
      <text>
        <r>
          <rPr>
            <sz val="8"/>
            <color indexed="81"/>
            <rFont val="Tahoma"/>
            <family val="2"/>
          </rPr>
          <t>Enter the amount of any IRS cafeteria plan contributions that are allowed as income tax deductions and exempt from FICA and Medicare taxes.</t>
        </r>
      </text>
    </comment>
    <comment ref="F44" authorId="0" shapeId="0" xr:uid="{ED1B346B-7298-4AC4-9721-0882C126E964}">
      <text>
        <r>
          <rPr>
            <sz val="8"/>
            <color indexed="81"/>
            <rFont val="Tahoma"/>
            <family val="2"/>
          </rPr>
          <t>Qualified business income deduction per Schedule 199A.  For instructions on what value to enter here, see IRS Publication 535.
Starting in calendar year 2020, the Federal CARES Act allows an above the line maximum of $300 in charitable contributions for non-itemized filers ($600 for married joint filers), a portion of which can appear here.</t>
        </r>
      </text>
    </comment>
    <comment ref="B46" authorId="0" shapeId="0" xr:uid="{15A5B587-31A6-441A-929E-C244E2ECC80C}">
      <text>
        <r>
          <rPr>
            <sz val="8"/>
            <color indexed="81"/>
            <rFont val="Tahoma"/>
            <family val="2"/>
          </rPr>
          <t>Other types of deductions not accounted for above can appear here.  Examples include deductable IRA/401(k)/Keogh/SEP/SIMPLE contributions, medical savings account (MSA) deductions, qualified moving expenses, and alimony paid.</t>
        </r>
      </text>
    </comment>
    <comment ref="F49" authorId="0" shapeId="0" xr:uid="{38901969-4ABF-43C1-B0D6-5E818C4D8BD0}">
      <text>
        <r>
          <rPr>
            <sz val="8"/>
            <color indexed="81"/>
            <rFont val="Tahoma"/>
            <family val="2"/>
          </rPr>
          <t>This computation provides the income tax owed on the taxable income computed.</t>
        </r>
      </text>
    </comment>
    <comment ref="F50" authorId="0" shapeId="0" xr:uid="{DF69481F-60F5-4AAC-BC99-598C2B546A9C}">
      <text>
        <r>
          <rPr>
            <sz val="8"/>
            <color indexed="81"/>
            <rFont val="Tahoma"/>
            <family val="2"/>
          </rPr>
          <t>Other types of taxes not accounted for above can appear here.  Examples include early withdrawal penalties on reitrement account savings.</t>
        </r>
      </text>
    </comment>
    <comment ref="F51" authorId="0" shapeId="0" xr:uid="{541CFC84-3ECB-43D2-B298-31E76CCCE2C3}">
      <text>
        <r>
          <rPr>
            <sz val="8"/>
            <color indexed="81"/>
            <rFont val="Tahoma"/>
            <family val="2"/>
          </rPr>
          <t>Medicare tax withheld from W2 income sources.</t>
        </r>
      </text>
    </comment>
    <comment ref="F52" authorId="0" shapeId="0" xr:uid="{B4733FA7-5E95-4FCE-B74A-22682E30889C}">
      <text>
        <r>
          <rPr>
            <sz val="8"/>
            <color indexed="81"/>
            <rFont val="Tahoma"/>
            <family val="2"/>
          </rPr>
          <t>Medicare surtax withheld affecting high income earners regardless of filing status.  This amount applies to earned income streams (W-2 and Schedule C).</t>
        </r>
      </text>
    </comment>
    <comment ref="F53" authorId="1" shapeId="0" xr:uid="{763118E4-832C-4DA5-87E4-BC9CE291DF25}">
      <text>
        <r>
          <rPr>
            <sz val="9"/>
            <color indexed="81"/>
            <rFont val="Tahoma"/>
            <family val="2"/>
          </rPr>
          <t>Medicare surtax affecting high income earners regardless of filing status.  This amount applies to the lesser of MAPI and NII exceeding the threshold.  This amount is NOT withheld.</t>
        </r>
      </text>
    </comment>
    <comment ref="F54" authorId="0" shapeId="0" xr:uid="{2A8776F7-5BD2-4AB2-BF66-A727AB55BC2B}">
      <text>
        <r>
          <rPr>
            <sz val="8"/>
            <color indexed="81"/>
            <rFont val="Tahoma"/>
            <family val="2"/>
          </rPr>
          <t>This computation provides the amount of FICA tax automatically withheld from W2 income.  It does not result in additional taxes owed, but may result in an overpayment of maximum FICA tax if more than one W2 income source exists.</t>
        </r>
      </text>
    </comment>
    <comment ref="F55" authorId="0" shapeId="0" xr:uid="{9FEF548B-BFDD-4502-9F69-B43316A76306}">
      <text>
        <r>
          <rPr>
            <sz val="8"/>
            <color indexed="81"/>
            <rFont val="Tahoma"/>
            <family val="2"/>
          </rPr>
          <t>FICA overpayments can result from having more than one W2 income source.   This computation provides the overpayment amount, if any, which then reduces the taxes owed.</t>
        </r>
      </text>
    </comment>
    <comment ref="B56" authorId="2" shapeId="0" xr:uid="{0DC016C6-BFB3-4D55-94E7-CE269B9CFBAD}">
      <text>
        <r>
          <rPr>
            <sz val="8"/>
            <color indexed="81"/>
            <rFont val="Tahoma"/>
            <family val="2"/>
          </rPr>
          <t>This is the net amount of qualified income subject to the capital gains rate tax.</t>
        </r>
      </text>
    </comment>
    <comment ref="B57" authorId="0" shapeId="0" xr:uid="{CBE5E504-7E16-4089-9560-4FDEDC4E9D5D}">
      <text>
        <r>
          <rPr>
            <sz val="8"/>
            <color indexed="81"/>
            <rFont val="Tahoma"/>
            <family val="2"/>
          </rPr>
          <t>This is the threshold of adjusted gross income that must be absorbed by medical/dental deductions.</t>
        </r>
      </text>
    </comment>
    <comment ref="F57" authorId="0" shapeId="0" xr:uid="{7D8E7EBB-ECE2-44A8-B8E9-CC4200084496}">
      <text>
        <r>
          <rPr>
            <sz val="8"/>
            <color indexed="81"/>
            <rFont val="Tahoma"/>
            <family val="2"/>
          </rPr>
          <t>This computation provides the amount of FICA tax owed on Schedule C income.  It takes into account any W2 income earned up to the maximum FICA amount.</t>
        </r>
      </text>
    </comment>
    <comment ref="B58" authorId="0" shapeId="0" xr:uid="{8E9891CE-FA72-4CFB-9305-21E10610E8CC}">
      <text>
        <r>
          <rPr>
            <sz val="8"/>
            <color indexed="81"/>
            <rFont val="Tahoma"/>
            <family val="2"/>
          </rPr>
          <t>This is the threshold of adjusted gross income that must be absorbed by miscellaneous deductions.</t>
        </r>
      </text>
    </comment>
    <comment ref="F58" authorId="0" shapeId="0" xr:uid="{582267EE-2C29-412C-9195-E47BE82ADD7A}">
      <text>
        <r>
          <rPr>
            <sz val="8"/>
            <color indexed="81"/>
            <rFont val="Tahoma"/>
            <family val="2"/>
          </rPr>
          <t>This computation provides the medicare tax owed on Schedule C income.</t>
        </r>
      </text>
    </comment>
    <comment ref="B59" authorId="0" shapeId="0" xr:uid="{E51C7390-DBAF-4DC1-8995-391E384DDA24}">
      <text>
        <r>
          <rPr>
            <sz val="8"/>
            <color indexed="81"/>
            <rFont val="Tahoma"/>
            <family val="2"/>
          </rPr>
          <t>This is the computed amount of allowed medical and miscellaneous deductions beyond the threshold limitations of Federal Schedule A.</t>
        </r>
      </text>
    </comment>
    <comment ref="B60" authorId="2" shapeId="0" xr:uid="{09A8555A-9E75-4E72-8BCB-5EA32B8D9F99}">
      <text>
        <r>
          <rPr>
            <sz val="8"/>
            <color indexed="81"/>
            <rFont val="Tahoma"/>
            <family val="2"/>
          </rPr>
          <t>This is the amount of cash and noncash donations made which are allowed as deductions.  At a minimum, donations are limited to 50% of federal AGI.</t>
        </r>
      </text>
    </comment>
    <comment ref="B61" authorId="2" shapeId="0" xr:uid="{3F341CA1-27BC-4689-9628-B3F9CB1DBADB}">
      <text>
        <r>
          <rPr>
            <sz val="8"/>
            <color indexed="81"/>
            <rFont val="Tahoma"/>
            <family val="2"/>
          </rPr>
          <t>This is the amount of cash and noncash donations made which are allowed as deductions.  At a minimum, donations are limited to 50% of federal AGI.</t>
        </r>
      </text>
    </comment>
    <comment ref="F61" authorId="0" shapeId="0" xr:uid="{79DB2EDF-BA71-4D89-8CC9-188BB623AC0C}">
      <text>
        <r>
          <rPr>
            <sz val="8"/>
            <color indexed="81"/>
            <rFont val="Tahoma"/>
            <family val="2"/>
          </rPr>
          <t>This is a combination of income and self-employment (SE) taxes owed.</t>
        </r>
      </text>
    </comment>
    <comment ref="B62" authorId="0" shapeId="0" xr:uid="{8C43DF9E-95CC-4CB9-857A-D1CDACE0368B}">
      <text>
        <r>
          <rPr>
            <sz val="8"/>
            <color indexed="81"/>
            <rFont val="Tahoma"/>
            <family val="2"/>
          </rPr>
          <t>This amount is the gross total of all income streams minus the total of all taxes owed (even though those taxes may not yet have been paid to date).</t>
        </r>
      </text>
    </comment>
    <comment ref="F62" authorId="0" shapeId="0" xr:uid="{A2BDA4C3-ECFB-4214-A62A-201877DE65E4}">
      <text>
        <r>
          <rPr>
            <sz val="8"/>
            <color indexed="81"/>
            <rFont val="Tahoma"/>
            <family val="2"/>
          </rPr>
          <t>This is the total tax owed, taking into account any additional sums owed by the AMT.</t>
        </r>
      </text>
    </comment>
    <comment ref="F64" authorId="0" shapeId="0" xr:uid="{2549EFCC-558E-4D63-A3C8-F6F4D077B4BE}">
      <text>
        <r>
          <rPr>
            <sz val="8"/>
            <color indexed="81"/>
            <rFont val="Tahoma"/>
            <family val="2"/>
          </rPr>
          <t>This amount should be the total of all federal income taxes withheld from W2 income.  You may want to include the F51 amount here since it is withheld and included in the F59 amount.</t>
        </r>
      </text>
    </comment>
    <comment ref="F65" authorId="2" shapeId="0" xr:uid="{84DD4314-6892-4E3A-B4E9-9ECA087586D9}">
      <text>
        <r>
          <rPr>
            <sz val="8"/>
            <color indexed="81"/>
            <rFont val="Tahoma"/>
            <family val="2"/>
          </rPr>
          <t>Include the amount of AMT deferral tax paid in the previous year that qualifies as a carryforward for this year.</t>
        </r>
      </text>
    </comment>
    <comment ref="B66" authorId="2" shapeId="0" xr:uid="{1184AF4C-3D88-4283-BA1F-F9962B893A87}">
      <text>
        <r>
          <rPr>
            <sz val="8"/>
            <color indexed="81"/>
            <rFont val="Tahoma"/>
            <family val="2"/>
          </rPr>
          <t>Deduction. (non-SSTBs are not subject to this limit, but there are other limits beyond the scope of this spreadsheet, including W-2 wages-based for S Corps)
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t>
        </r>
      </text>
    </comment>
    <comment ref="F66" authorId="2" shapeId="0" xr:uid="{C9176F0C-5991-4C94-8B6C-73EDBAB73173}">
      <text>
        <r>
          <rPr>
            <sz val="8"/>
            <color indexed="81"/>
            <rFont val="Tahoma"/>
            <family val="2"/>
          </rPr>
          <t xml:space="preserve">Include any tax credits you qualify for which are not accounted for elsewhere. </t>
        </r>
      </text>
    </comment>
    <comment ref="F67" authorId="2" shapeId="0" xr:uid="{B22E06A8-514C-4D1E-AB6D-8CF340E20130}">
      <text>
        <r>
          <rPr>
            <sz val="8"/>
            <color indexed="81"/>
            <rFont val="Tahoma"/>
            <family val="2"/>
          </rPr>
          <t>This computed amount determines the child tax credit that one is eligible to receive.  This credit is then subject to the limit of tax due computed below.</t>
        </r>
      </text>
    </comment>
    <comment ref="F68" authorId="0" shapeId="0" xr:uid="{50B9C3EE-3F2C-458E-8169-EF626D43BD10}">
      <text>
        <r>
          <rPr>
            <sz val="8"/>
            <color indexed="81"/>
            <rFont val="Tahoma"/>
            <family val="2"/>
          </rPr>
          <t>This computed amount, if positive, means that additional federal taxes are owed which should be paid at quarterly intervals using form 1040-ES.  If zero or negative, it means that a tax overpayment is in effect.  The child tax credit is factored into this amount</t>
        </r>
      </text>
    </comment>
    <comment ref="B74" authorId="0" shapeId="0" xr:uid="{690EF0CE-7CD3-4A04-AF4D-CB38FD85A52A}">
      <text>
        <r>
          <rPr>
            <sz val="8"/>
            <color indexed="81"/>
            <rFont val="Tahoma"/>
            <family val="2"/>
          </rPr>
          <t>This figure represents the number of dependents listed on the form.  The taxpayer is usually a dependent unless he or she is being claimed on someone else's tax return.</t>
        </r>
      </text>
    </comment>
    <comment ref="B75" authorId="0" shapeId="0" xr:uid="{A31E2754-7780-4E32-B819-0C334315EB2B}">
      <text>
        <r>
          <rPr>
            <sz val="8"/>
            <color indexed="81"/>
            <rFont val="Tahoma"/>
            <family val="2"/>
          </rPr>
          <t>Enter 1 if blind, 0 otherwise.</t>
        </r>
      </text>
    </comment>
    <comment ref="B76" authorId="0" shapeId="0" xr:uid="{5937C734-DC46-427F-A921-BAD8DA7C6913}">
      <text>
        <r>
          <rPr>
            <sz val="8"/>
            <color indexed="81"/>
            <rFont val="Tahoma"/>
            <family val="2"/>
          </rPr>
          <t>Enter 1 if 65 or older, 0 otherwise.</t>
        </r>
      </text>
    </comment>
    <comment ref="B77" authorId="0" shapeId="0" xr:uid="{13A0A721-A030-4C77-85C1-580117DC4DA9}">
      <text>
        <r>
          <rPr>
            <sz val="8"/>
            <color indexed="81"/>
            <rFont val="Tahoma"/>
            <family val="2"/>
          </rPr>
          <t>If "YES", the W2 incomes are assumed to come from one person.  If "NO", each W2 income is assumed to come from a different person.  This affects FICA tax overpayment and is meaningful only for a joint filing.</t>
        </r>
      </text>
    </comment>
    <comment ref="B78" authorId="0" shapeId="0" xr:uid="{A510F6D3-ED64-4A23-BC01-9856F8EDAF21}">
      <text>
        <r>
          <rPr>
            <sz val="8"/>
            <color indexed="81"/>
            <rFont val="Tahoma"/>
            <family val="2"/>
          </rPr>
          <t>If "YES", the federal tax due computations will be rounded to the nearest dollar.</t>
        </r>
      </text>
    </comment>
    <comment ref="B79" authorId="0" shapeId="0" xr:uid="{A4713E5E-3FC3-450D-A1AC-65074F79A5EC}">
      <text>
        <r>
          <rPr>
            <sz val="8"/>
            <color indexed="81"/>
            <rFont val="Tahoma"/>
            <family val="2"/>
          </rPr>
          <t>Number of dependents for the child tax credit can be overridden.</t>
        </r>
      </text>
    </comment>
    <comment ref="B80" authorId="0" shapeId="0" xr:uid="{0809A267-A42E-4EC8-97D0-34D7CBA5115B}">
      <text>
        <r>
          <rPr>
            <sz val="10"/>
            <color indexed="8"/>
            <rFont val="Arial"/>
            <family val="2"/>
          </rPr>
          <t>Section 199A qualified business income (QBI) deduction is a </t>
        </r>
        <r>
          <rPr>
            <b/>
            <sz val="8"/>
            <color indexed="8"/>
            <rFont val="Arial"/>
            <family val="2"/>
          </rPr>
          <t>20% deduction off taxable income</t>
        </r>
        <r>
          <rPr>
            <sz val="8"/>
            <color indexed="8"/>
            <rFont val="Arial"/>
            <family val="2"/>
          </rPr>
          <t xml:space="preserve">
</t>
        </r>
        <r>
          <rPr>
            <sz val="10"/>
            <color indexed="8"/>
            <rFont val="Arial"/>
            <family val="2"/>
          </rPr>
          <t>applying to eligible self-employed (Sch. C/1099-NEC),</t>
        </r>
        <r>
          <rPr>
            <sz val="8"/>
            <color indexed="8"/>
            <rFont val="Arial"/>
            <family val="2"/>
          </rPr>
          <t xml:space="preserve">
</t>
        </r>
        <r>
          <rPr>
            <sz val="10"/>
            <color indexed="8"/>
            <rFont val="Arial"/>
            <family val="2"/>
          </rPr>
          <t>small-business owners (LLC/S-corp),</t>
        </r>
        <r>
          <rPr>
            <sz val="10"/>
            <color indexed="8"/>
            <rFont val="Arial"/>
            <family val="2"/>
          </rPr>
          <t xml:space="preserve"> and qualifying REIT and pass-through partnership distributions</t>
        </r>
      </text>
    </comment>
    <comment ref="B81" authorId="0" shapeId="0" xr:uid="{E3B42F7F-5A27-461D-84C5-DA4FE06D9921}">
      <text>
        <r>
          <rPr>
            <u/>
            <sz val="8"/>
            <color indexed="8"/>
            <rFont val="Arial"/>
            <family val="2"/>
          </rPr>
          <t>Specified service trades or businesses (SSTBs)</t>
        </r>
        <r>
          <rPr>
            <sz val="8"/>
            <color indexed="8"/>
            <rFont val="Arial"/>
            <family val="2"/>
          </rPr>
          <t xml:space="preserve"> are:
</t>
        </r>
        <r>
          <rPr>
            <sz val="8"/>
            <color indexed="8"/>
            <rFont val="Arial"/>
            <family val="2"/>
          </rPr>
          <t>1.Trades or businesses performing services in the fields of health, law, accounting, actuarial science, performing arts, consulting, athletics, financial services, brokerage services, or any trade or business </t>
        </r>
        <r>
          <rPr>
            <b/>
            <sz val="8"/>
            <color indexed="8"/>
            <rFont val="Arial"/>
            <family val="2"/>
          </rPr>
          <t>where the principal asset of that trade or business is the reputation or skill of one or more of its employees</t>
        </r>
        <r>
          <rPr>
            <sz val="8"/>
            <color indexed="8"/>
            <rFont val="Arial"/>
            <family val="2"/>
          </rPr>
          <t xml:space="preserve">
See Sec. 1202(e)(3)(A) for list; however,
</t>
        </r>
        <r>
          <rPr>
            <sz val="8"/>
            <color indexed="8"/>
            <rFont val="Arial"/>
            <family val="2"/>
          </rPr>
          <t>TCJA specifically excluded </t>
        </r>
        <r>
          <rPr>
            <b/>
            <sz val="8"/>
            <color indexed="8"/>
            <rFont val="Arial"/>
            <family val="2"/>
          </rPr>
          <t>engineering &amp; architecture</t>
        </r>
        <r>
          <rPr>
            <sz val="8"/>
            <color indexed="8"/>
            <rFont val="Arial"/>
            <family val="2"/>
          </rPr>
          <t>:</t>
        </r>
        <r>
          <rPr>
            <sz val="8"/>
            <color indexed="8"/>
            <rFont val="Arial"/>
            <family val="2"/>
          </rPr>
          <t xml:space="preserve">
</t>
        </r>
        <r>
          <rPr>
            <i/>
            <sz val="8"/>
            <color indexed="8"/>
            <rFont val="Arial"/>
            <family val="2"/>
          </rPr>
          <t>Software engineers, architects, etc. had effective lobbyists. They are </t>
        </r>
        <r>
          <rPr>
            <b/>
            <i/>
            <sz val="8"/>
            <color indexed="8"/>
            <rFont val="Arial"/>
            <family val="2"/>
          </rPr>
          <t>not</t>
        </r>
        <r>
          <rPr>
            <i/>
            <sz val="8"/>
            <color indexed="8"/>
            <rFont val="Arial"/>
            <family val="2"/>
          </rPr>
          <t> an SSTB for QBID!</t>
        </r>
        <r>
          <rPr>
            <sz val="8"/>
            <color indexed="8"/>
            <rFont val="Arial"/>
            <family val="2"/>
          </rPr>
          <t xml:space="preserve">
or
</t>
        </r>
        <r>
          <rPr>
            <sz val="8"/>
            <color indexed="8"/>
            <rFont val="Arial"/>
            <family val="2"/>
          </rPr>
          <t>2. Any trade or business that involves the performance of services that consist of investing and investment management, trading, or dealing in securities described in Sec. 475(c)(2), partnership interests, or commodities described in Sec. 475(e)(2) (Sec. 199A(d)(2)(B)).
If you are unsure, it's more conservative to </t>
        </r>
        <r>
          <rPr>
            <u/>
            <sz val="8"/>
            <color indexed="8"/>
            <rFont val="Arial"/>
            <family val="2"/>
          </rPr>
          <t>leave as YES</t>
        </r>
        <r>
          <rPr>
            <sz val="8"/>
            <color indexed="8"/>
            <rFont val="Arial"/>
            <family val="2"/>
          </rPr>
          <t xml:space="preserve">.
</t>
        </r>
        <r>
          <rPr>
            <sz val="8"/>
            <color indexed="8"/>
            <rFont val="Arial"/>
            <family val="2"/>
          </rPr>
          <t xml:space="preserve">
</t>
        </r>
        <r>
          <rPr>
            <sz val="8"/>
            <color indexed="8"/>
            <rFont val="Arial"/>
            <family val="2"/>
          </rPr>
          <t xml:space="preserve">https://www.journalofaccountancy.com/issues/2018/may/sec-199a-deduction-for-qualified-business-income.html#:~:text=to%20the%20words%20%27-,engineering%2C%20architecture,-%2C%27)%20...%20or%20which%20involves
</t>
        </r>
      </text>
    </comment>
    <comment ref="F83" authorId="0" shapeId="0" xr:uid="{2056A4B7-F69B-4964-8E90-61C96EF0073E}">
      <text>
        <r>
          <rPr>
            <sz val="8"/>
            <color indexed="81"/>
            <rFont val="Tahoma"/>
            <family val="2"/>
          </rPr>
          <t>Sample cell note.</t>
        </r>
      </text>
    </comment>
    <comment ref="B106" authorId="0" shapeId="0" xr:uid="{E2A9C291-1400-4FB2-A532-76CE345EE822}">
      <text>
        <r>
          <rPr>
            <sz val="8"/>
            <color indexed="81"/>
            <rFont val="Tahoma"/>
            <family val="2"/>
          </rPr>
          <t>This is the maximum tax rate applied to all income that is classified as long term investment income held longer than 12 months but less than 60 months.</t>
        </r>
      </text>
    </comment>
    <comment ref="B107" authorId="0" shapeId="0" xr:uid="{E10D851B-2915-4479-8D8D-3DF49102D959}">
      <text>
        <r>
          <rPr>
            <sz val="8"/>
            <color indexed="81"/>
            <rFont val="Tahoma"/>
            <family val="2"/>
          </rPr>
          <t>This is the capital gains tax rate for assets acquired after 1/1/2001, which are then held for longer than 60 months.</t>
        </r>
      </text>
    </comment>
    <comment ref="B108" authorId="0" shapeId="0" xr:uid="{7BA93D1D-E565-42C1-9875-EAE7D653741F}">
      <text>
        <r>
          <rPr>
            <sz val="8"/>
            <color indexed="81"/>
            <rFont val="Tahoma"/>
            <family val="2"/>
          </rPr>
          <t>This capital gains rate applies to high income earners who exceed the taxable income threshold.</t>
        </r>
      </text>
    </comment>
    <comment ref="B109" authorId="2" shapeId="0" xr:uid="{FBCB9CC5-5279-4946-B163-7B17FE048899}">
      <text>
        <r>
          <rPr>
            <sz val="8"/>
            <color indexed="81"/>
            <rFont val="Tahoma"/>
            <family val="2"/>
          </rPr>
          <t>Taxable income in excess of this amount is taxed at the capital gains high income rate instead of the normal rate.</t>
        </r>
      </text>
    </comment>
    <comment ref="B110" authorId="0" shapeId="0" xr:uid="{6C4899C0-CECD-4AD5-8073-2E33D8601FBE}">
      <text>
        <r>
          <rPr>
            <sz val="8"/>
            <color indexed="81"/>
            <rFont val="Tahoma"/>
            <family val="2"/>
          </rPr>
          <t>Investment income surtax rate.</t>
        </r>
      </text>
    </comment>
    <comment ref="B111" authorId="0" shapeId="0" xr:uid="{BB346BB4-A9A6-4A26-B416-96A3702ED59D}">
      <text>
        <r>
          <rPr>
            <sz val="8"/>
            <color indexed="81"/>
            <rFont val="Tahoma"/>
            <family val="2"/>
          </rPr>
          <t>Income over this amount is subject to capital gains and Medicare surtaxes.</t>
        </r>
      </text>
    </comment>
    <comment ref="B112" authorId="0" shapeId="0" xr:uid="{BF6F75B9-B320-4DA6-B764-A8DE6018950D}">
      <text>
        <r>
          <rPr>
            <sz val="8"/>
            <color indexed="81"/>
            <rFont val="Tahoma"/>
            <family val="2"/>
          </rPr>
          <t>This deduction is taken only if the itemized deductions listed are less than this amount.</t>
        </r>
      </text>
    </comment>
    <comment ref="B113" authorId="0" shapeId="0" xr:uid="{DD631709-93BE-432B-8A36-F4869499B700}">
      <text>
        <r>
          <rPr>
            <sz val="8"/>
            <color indexed="81"/>
            <rFont val="Tahoma"/>
            <family val="2"/>
          </rPr>
          <t>This deduction adds to the standard deduction if blind and/or over 65.</t>
        </r>
      </text>
    </comment>
    <comment ref="B114" authorId="0" shapeId="0" xr:uid="{AEDAFCD4-3F0C-4659-9AFD-4C91C3614F83}">
      <text>
        <r>
          <rPr>
            <sz val="8"/>
            <color indexed="81"/>
            <rFont val="Tahoma"/>
            <family val="2"/>
          </rPr>
          <t>This deduction comprises the income reduction amount per dependent claimed on the tax return.</t>
        </r>
      </text>
    </comment>
    <comment ref="B115" authorId="0" shapeId="0" xr:uid="{4F0CCDDA-8225-49E8-AB91-CA1D037302BC}">
      <text>
        <r>
          <rPr>
            <sz val="8"/>
            <color indexed="81"/>
            <rFont val="Tahoma"/>
            <family val="2"/>
          </rPr>
          <t>This number is used solely as a divisor in  a ceiling function to compute a limitation on personal deductions.</t>
        </r>
      </text>
    </comment>
    <comment ref="B116" authorId="0" shapeId="0" xr:uid="{2118015B-1BA0-4AA9-852C-B3982019EBCA}">
      <text>
        <r>
          <rPr>
            <sz val="8"/>
            <color indexed="81"/>
            <rFont val="Tahoma"/>
            <family val="2"/>
          </rPr>
          <t>Any income above this amount causes personal deductions to be limited.</t>
        </r>
      </text>
    </comment>
    <comment ref="B117" authorId="0" shapeId="0" xr:uid="{074850DB-665F-4EBC-908D-C2DF6FF07859}">
      <text>
        <r>
          <rPr>
            <sz val="8"/>
            <color indexed="81"/>
            <rFont val="Tahoma"/>
            <family val="2"/>
          </rPr>
          <t>This rate determines the amount of limitation allowed for claimed personal deductions.</t>
        </r>
      </text>
    </comment>
    <comment ref="B118" authorId="2" shapeId="0" xr:uid="{CA63501D-9E08-4A09-B0E0-3A221269679A}">
      <text>
        <r>
          <rPr>
            <sz val="8"/>
            <color indexed="81"/>
            <rFont val="Tahoma"/>
            <family val="2"/>
          </rPr>
          <t>This is a maximum per-child tax credit and is automatically computed.</t>
        </r>
      </text>
    </comment>
    <comment ref="B119" authorId="2" shapeId="0" xr:uid="{BB5B3DC2-FA75-4D19-9A31-DCC4E8D3F9C5}">
      <text>
        <r>
          <rPr>
            <sz val="8"/>
            <color indexed="81"/>
            <rFont val="Tahoma"/>
            <family val="2"/>
          </rPr>
          <t>Federal adjusted gross income over this amount causes the child tax credit to be limited.</t>
        </r>
      </text>
    </comment>
    <comment ref="B120" authorId="2" shapeId="0" xr:uid="{38A611C8-C17E-4447-A399-EACA5775B92A}">
      <text>
        <r>
          <rPr>
            <sz val="8"/>
            <color indexed="81"/>
            <rFont val="Tahoma"/>
            <family val="2"/>
          </rPr>
          <t>Used soley in the computation of a limited child tax credit.</t>
        </r>
      </text>
    </comment>
    <comment ref="B122" authorId="0" shapeId="0" xr:uid="{89B967BA-987A-41FC-BFC2-5E59B110F97A}">
      <text>
        <r>
          <rPr>
            <sz val="8"/>
            <color indexed="81"/>
            <rFont val="Tahoma"/>
            <family val="2"/>
          </rPr>
          <t>Any income above this amount causes the Schedule A deductions to be limited.</t>
        </r>
      </text>
    </comment>
    <comment ref="B123" authorId="0" shapeId="0" xr:uid="{D5D0DF8F-153C-4EA5-9CE2-C3C3113EB680}">
      <text>
        <r>
          <rPr>
            <sz val="8"/>
            <color indexed="81"/>
            <rFont val="Tahoma"/>
            <family val="2"/>
          </rPr>
          <t>This rate determines the limitation in Schedule A deductions above a threshold income level.</t>
        </r>
      </text>
    </comment>
    <comment ref="B124" authorId="0" shapeId="0" xr:uid="{626AFAE6-BDB8-445A-9B9E-2797D86508B1}">
      <text>
        <r>
          <rPr>
            <sz val="8"/>
            <color indexed="81"/>
            <rFont val="Tahoma"/>
            <family val="2"/>
          </rPr>
          <t>This rate determines the limitation in Schedule A deductions above a threshold income level.</t>
        </r>
      </text>
    </comment>
    <comment ref="B125" authorId="2" shapeId="0" xr:uid="{E21E4F22-2A08-48DB-B2F8-83E727A0CE36}">
      <text>
        <r>
          <rPr>
            <sz val="8"/>
            <color indexed="81"/>
            <rFont val="Tahoma"/>
            <family val="2"/>
          </rPr>
          <t>Used soley in the computation of a limited child tax credit.</t>
        </r>
      </text>
    </comment>
    <comment ref="B126" authorId="0" shapeId="0" xr:uid="{5A88F2A6-E24F-49BD-A211-0660743715EC}">
      <text>
        <r>
          <rPr>
            <sz val="8"/>
            <color indexed="81"/>
            <rFont val="Tahoma"/>
            <family val="2"/>
          </rPr>
          <t>Schedule C income is subject to both FICA and medicare tax.  This tax rate is the medicare portion owed on all Schedule C income.</t>
        </r>
      </text>
    </comment>
    <comment ref="B127" authorId="0" shapeId="0" xr:uid="{8EFF93D5-976E-4AB4-8FC1-BB034F3BF824}">
      <text>
        <r>
          <rPr>
            <sz val="8"/>
            <color indexed="81"/>
            <rFont val="Tahoma"/>
            <family val="2"/>
          </rPr>
          <t>This income rate limitation applies to Schedule C income for the purposes of computing FICA and medicare tax owed.</t>
        </r>
      </text>
    </comment>
    <comment ref="B128" authorId="0" shapeId="0" xr:uid="{7D4CEF0E-ED74-4FAB-8370-407C10E026C2}">
      <text>
        <r>
          <rPr>
            <sz val="8"/>
            <color indexed="81"/>
            <rFont val="Tahoma"/>
            <family val="2"/>
          </rPr>
          <t>This denotes the maximum medicare tax owed.  An amount of zero (0.00) indicates that there is no maximum tax.</t>
        </r>
      </text>
    </comment>
    <comment ref="B129" authorId="0" shapeId="0" xr:uid="{FFAA809B-56EA-4956-9DE0-A83805988346}">
      <text>
        <r>
          <rPr>
            <sz val="8"/>
            <color indexed="81"/>
            <rFont val="Tahoma"/>
            <family val="2"/>
          </rPr>
          <t>Federal Medicare tax rate applied to W2 income sources (one half of the SE tax rate).</t>
        </r>
      </text>
    </comment>
    <comment ref="B130" authorId="0" shapeId="0" xr:uid="{D8AF805A-C7A3-48C0-8339-C13697C3060F}">
      <text>
        <r>
          <rPr>
            <sz val="8"/>
            <color indexed="81"/>
            <rFont val="Tahoma"/>
            <family val="2"/>
          </rPr>
          <t>Federal Medicare surtax rate for income exceeding the ACA Surtax Cliff amount.</t>
        </r>
      </text>
    </comment>
    <comment ref="B131" authorId="0" shapeId="0" xr:uid="{99D6B25D-36D5-4E78-BEDB-58801153EE3D}">
      <text>
        <r>
          <rPr>
            <sz val="8"/>
            <color indexed="81"/>
            <rFont val="Tahoma"/>
            <family val="2"/>
          </rPr>
          <t>This tax rate is used in computing Schedule C income FICA tax owed.</t>
        </r>
      </text>
    </comment>
    <comment ref="B132" authorId="0" shapeId="0" xr:uid="{273FE6D5-9E2C-4528-AC97-95A9709145FE}">
      <text>
        <r>
          <rPr>
            <sz val="8"/>
            <color indexed="81"/>
            <rFont val="Tahoma"/>
            <family val="2"/>
          </rPr>
          <t>This is the maximum FICA tax owed by all sources of income earned.  0.00 indicates that there is no maximum tax ceiling.</t>
        </r>
      </text>
    </comment>
    <comment ref="B133" authorId="0" shapeId="0" xr:uid="{F5E7B74C-6B38-46A1-83FA-78424861947E}">
      <text>
        <r>
          <rPr>
            <sz val="8"/>
            <color indexed="81"/>
            <rFont val="Tahoma"/>
            <family val="2"/>
          </rPr>
          <t>Maximum income level subject to FICA tax.  An amount specified as zero (0.00) means that there is no maximum income limitation.</t>
        </r>
      </text>
    </comment>
    <comment ref="B134" authorId="0" shapeId="0" xr:uid="{6D01D5CB-20C7-4EC4-9015-C5F4AE6919C3}">
      <text>
        <r>
          <rPr>
            <sz val="8"/>
            <color indexed="81"/>
            <rFont val="Tahoma"/>
            <family val="2"/>
          </rPr>
          <t>SE tax is not owed if the income (after applying the SE income limitation rate) is less than this amount.</t>
        </r>
      </text>
    </comment>
    <comment ref="B135" authorId="0" shapeId="0" xr:uid="{4BCEE864-5652-4E4A-B8C5-20D375957CF1}">
      <text>
        <r>
          <rPr>
            <sz val="8"/>
            <color indexed="81"/>
            <rFont val="Tahoma"/>
            <family val="2"/>
          </rPr>
          <t>FICA tax rate applied to W2 income sources (one half of the SE tax rate).</t>
        </r>
      </text>
    </comment>
    <comment ref="B136" authorId="0" shapeId="0" xr:uid="{CC40C483-3418-4F38-B6BE-C52459F215CC}">
      <text>
        <r>
          <rPr>
            <sz val="8"/>
            <color indexed="81"/>
            <rFont val="Tahoma"/>
            <family val="2"/>
          </rPr>
          <t>SE income used to pay for health insurance premiums are deductable at this rate.</t>
        </r>
      </text>
    </comment>
    <comment ref="B137" authorId="0" shapeId="0" xr:uid="{AABD8FFA-658B-48B9-955A-3E92FD59F9F9}">
      <text>
        <r>
          <rPr>
            <sz val="8"/>
            <color indexed="81"/>
            <rFont val="Tahoma"/>
            <family val="2"/>
          </rPr>
          <t>Maximum amount of stock and mutual fund losses allowed in one year.</t>
        </r>
      </text>
    </comment>
    <comment ref="B144" authorId="2" shapeId="0" xr:uid="{DAC7A846-E5F4-4C9F-9481-718A729672E7}">
      <text>
        <r>
          <rPr>
            <sz val="8"/>
            <color indexed="81"/>
            <rFont val="Tahoma"/>
            <family val="2"/>
          </rPr>
          <t>The federal 2020 CARES act allows unlimited charitable contributions through 2021.  In future years, at most 60% of your federal AGI for cash and noncash contributions are deductable.  See IRS publication 526 for details of this limit as well as further limits that may apply to your tax situation.</t>
        </r>
      </text>
    </comment>
    <comment ref="B145" authorId="2" shapeId="0" xr:uid="{20CA5CEE-F01C-428E-B6F2-C7614FC526D6}">
      <text>
        <r>
          <rPr>
            <sz val="8"/>
            <color indexed="81"/>
            <rFont val="Tahoma"/>
            <family val="2"/>
          </rPr>
          <t>Starting in 2026, charitable contributions must exceed 0.5% AGI for filers who claim the itemized deduction.</t>
        </r>
      </text>
    </comment>
    <comment ref="B146" authorId="2" shapeId="0" xr:uid="{232D7A77-E3D2-40BE-BB8A-77BF50BC404D}">
      <text>
        <r>
          <rPr>
            <sz val="9"/>
            <color indexed="81"/>
            <rFont val="Tahoma"/>
            <family val="2"/>
          </rPr>
          <t>Starting in 2026, highest bracket filers have their charitable contributions limited by this amount.</t>
        </r>
      </text>
    </comment>
    <comment ref="B147" authorId="2" shapeId="0" xr:uid="{994D0CBB-D3F6-41C4-A760-B71B1E40D892}">
      <text>
        <r>
          <rPr>
            <sz val="9"/>
            <color indexed="81"/>
            <rFont val="Tahoma"/>
            <family val="2"/>
          </rPr>
          <t>Starting in 2026, non-itemizers can deduct up to this amount in charitable giving.</t>
        </r>
      </text>
    </comment>
    <comment ref="B161" authorId="3" shapeId="0" xr:uid="{F0B9ACB8-115C-4129-8B4F-E65C974592DF}">
      <text>
        <r>
          <rPr>
            <sz val="10"/>
            <color indexed="8"/>
            <rFont val="Tahoma"/>
            <family val="2"/>
          </rPr>
          <t xml:space="preserve">QBI (qualified business income) from SSTBs is subject to a limitation and phaseout for the calculation of the QBI Deduction. 
</t>
        </r>
        <r>
          <rPr>
            <sz val="10"/>
            <color indexed="8"/>
            <rFont val="Tahoma"/>
            <family val="2"/>
          </rPr>
          <t xml:space="preserve">
</t>
        </r>
        <r>
          <rPr>
            <sz val="10"/>
            <color indexed="8"/>
            <rFont val="Tahoma"/>
            <family val="2"/>
          </rPr>
          <t xml:space="preserve">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
</t>
        </r>
      </text>
    </comment>
    <comment ref="B162" authorId="3" shapeId="0" xr:uid="{8C9DC388-A724-42B9-B601-5E508374E250}">
      <text>
        <r>
          <rPr>
            <sz val="10"/>
            <color indexed="8"/>
            <rFont val="Tahoma"/>
            <family val="2"/>
          </rPr>
          <t xml:space="preserve">see note above
</t>
        </r>
      </text>
    </comment>
  </commentList>
</comments>
</file>

<file path=xl/sharedStrings.xml><?xml version="1.0" encoding="utf-8"?>
<sst xmlns="http://schemas.openxmlformats.org/spreadsheetml/2006/main" count="1252" uniqueCount="259">
  <si>
    <t>Schedule C</t>
  </si>
  <si>
    <t>Other Income</t>
  </si>
  <si>
    <t>Home Loan Points</t>
  </si>
  <si>
    <t>Cash Donations</t>
  </si>
  <si>
    <t>Stock/Fund 60mo Cap Gains</t>
  </si>
  <si>
    <t>Cap Losses Max</t>
  </si>
  <si>
    <t>Total Federal Gross</t>
  </si>
  <si>
    <t>Federal Alternative Minimum Tax</t>
  </si>
  <si>
    <t>Fed Low Income CG Tax Rate</t>
  </si>
  <si>
    <t>Number of Dependents</t>
  </si>
  <si>
    <t>Fed Pers Limit Income</t>
  </si>
  <si>
    <t>Fed Pers Limit Rate</t>
  </si>
  <si>
    <t>Fed Sched A Limit Rate</t>
  </si>
  <si>
    <t>SE Medicare Tax Rate</t>
  </si>
  <si>
    <t>Fed Income 35%</t>
  </si>
  <si>
    <t>Charity Deducts Threshold</t>
  </si>
  <si>
    <t>Round tax due to the dollar</t>
  </si>
  <si>
    <t>Tax Credits</t>
  </si>
  <si>
    <t>SE Income Limitation Rate</t>
  </si>
  <si>
    <t>SE Medicare Tax Max</t>
  </si>
  <si>
    <t>SE FICA Tax Max</t>
  </si>
  <si>
    <t>SE FICA Income Max</t>
  </si>
  <si>
    <t>SE Income Minimum</t>
  </si>
  <si>
    <t>Health Insur Premium Rate</t>
  </si>
  <si>
    <t>Schedule C Income</t>
  </si>
  <si>
    <t>Total Income</t>
  </si>
  <si>
    <t>Total Expenses</t>
  </si>
  <si>
    <t>Federal Income Adjustments</t>
  </si>
  <si>
    <t>Personal Deductions</t>
  </si>
  <si>
    <t>Schedule C Expenses</t>
  </si>
  <si>
    <t>1/2 SE Tax</t>
  </si>
  <si>
    <t>Adjusted Pers Deductions</t>
  </si>
  <si>
    <t>Health Insurance Premium</t>
  </si>
  <si>
    <t>Taxes Due Summary</t>
  </si>
  <si>
    <t>Tax Withheld</t>
  </si>
  <si>
    <t>Total Fed Tax</t>
  </si>
  <si>
    <t>Income Tax</t>
  </si>
  <si>
    <t>Estimated Tax Total Due</t>
  </si>
  <si>
    <t>FICA</t>
  </si>
  <si>
    <t>FICA Withheld</t>
  </si>
  <si>
    <t>Estimated Paid to Date</t>
  </si>
  <si>
    <t>SE Tax</t>
  </si>
  <si>
    <t>FICA Overpayment</t>
  </si>
  <si>
    <t>Est Fed Total Tax</t>
  </si>
  <si>
    <t>SE FICA Tax</t>
  </si>
  <si>
    <t>SE Medicare Tax</t>
  </si>
  <si>
    <t>Est Fed Tax Paid to Date</t>
  </si>
  <si>
    <t>Total SE Tax</t>
  </si>
  <si>
    <t>Legend</t>
  </si>
  <si>
    <t>Misc Deducts Inc Threshold</t>
  </si>
  <si>
    <t>Medical Deducts Inc Threshold</t>
  </si>
  <si>
    <t>Federal Tax Remaining</t>
  </si>
  <si>
    <t>Fed Tax Remaining</t>
  </si>
  <si>
    <t>Medicare Withheld</t>
  </si>
  <si>
    <t>Medicare</t>
  </si>
  <si>
    <t>Federal Taxes Owed</t>
  </si>
  <si>
    <t>Federal Parameters</t>
  </si>
  <si>
    <t>W2 Medicare Tax 1.45%</t>
  </si>
  <si>
    <t>Net Income</t>
  </si>
  <si>
    <t>Adjustments and Preferences</t>
  </si>
  <si>
    <t>AMT Exemption</t>
  </si>
  <si>
    <t>AMT Income Exemption</t>
  </si>
  <si>
    <t>AMT Net Income</t>
  </si>
  <si>
    <t>AMT Taxable Income</t>
  </si>
  <si>
    <t>AMT High Income Tax Rate</t>
  </si>
  <si>
    <t>AMT Low Income Tax Rate</t>
  </si>
  <si>
    <t>AMT High Income Threshold</t>
  </si>
  <si>
    <t>AMT High Income Deduction</t>
  </si>
  <si>
    <t>Fed Tax 35%</t>
  </si>
  <si>
    <t>Fed Tax Rate 35%</t>
  </si>
  <si>
    <t>Fed Tax Rate 10%</t>
  </si>
  <si>
    <t>Local/City Income Taxes</t>
  </si>
  <si>
    <t>Prior Year State Inc Taxes</t>
  </si>
  <si>
    <t>Primary Job W2 Income</t>
  </si>
  <si>
    <t>Second Job W2 Income</t>
  </si>
  <si>
    <t>User-editable cell</t>
  </si>
  <si>
    <t>AMT Tax Credits</t>
  </si>
  <si>
    <t>Personal Property Taxes</t>
  </si>
  <si>
    <t>Quick Instructions</t>
  </si>
  <si>
    <t>Federal Tax Planner Spreadsheet</t>
  </si>
  <si>
    <t>4. Fill in cells F21 through F32 with deductable expenses.</t>
  </si>
  <si>
    <t>Federal Income and Deduction Summary</t>
  </si>
  <si>
    <t>Federal Estimated Tax Payments</t>
  </si>
  <si>
    <t>Taxable Federal Income</t>
  </si>
  <si>
    <t>ACA Surtax Cliff</t>
  </si>
  <si>
    <t>Medicare Surtax 0.9%</t>
  </si>
  <si>
    <t>Mortgage Interest</t>
  </si>
  <si>
    <t>January</t>
  </si>
  <si>
    <t>Second Job W2</t>
  </si>
  <si>
    <t>February</t>
  </si>
  <si>
    <t>March</t>
  </si>
  <si>
    <t>Property Taxes</t>
  </si>
  <si>
    <t>April</t>
  </si>
  <si>
    <t>May</t>
  </si>
  <si>
    <t>June</t>
  </si>
  <si>
    <t>July</t>
  </si>
  <si>
    <t>August</t>
  </si>
  <si>
    <t>Limitation</t>
  </si>
  <si>
    <t>September</t>
  </si>
  <si>
    <t>October</t>
  </si>
  <si>
    <t>Total Gross Deductions</t>
  </si>
  <si>
    <t>Adjusted Deductions</t>
  </si>
  <si>
    <t>November</t>
  </si>
  <si>
    <t>December</t>
  </si>
  <si>
    <t>Total Est Tax Paid</t>
  </si>
  <si>
    <t>LT Cap Gains Taxable</t>
  </si>
  <si>
    <t>Stock/Fund LT Cap Gains</t>
  </si>
  <si>
    <t>Fed Child Tax Credit</t>
  </si>
  <si>
    <t>Fed Child Tax Income Max</t>
  </si>
  <si>
    <t>Fed Child Tax Income Div</t>
  </si>
  <si>
    <t>Fed Child Tax Income Sub</t>
  </si>
  <si>
    <t>Child Tax Credit</t>
  </si>
  <si>
    <t>Prior Year AMT Carryforward</t>
  </si>
  <si>
    <t xml:space="preserve">   </t>
  </si>
  <si>
    <t>Income</t>
  </si>
  <si>
    <t>Taxes Owed</t>
  </si>
  <si>
    <t>Remaining Taxes Due</t>
  </si>
  <si>
    <t>Tax Summary Information</t>
  </si>
  <si>
    <t>normal font</t>
  </si>
  <si>
    <t>normal data entry</t>
  </si>
  <si>
    <t>boldface</t>
  </si>
  <si>
    <t>summation data entry</t>
  </si>
  <si>
    <t>title</t>
  </si>
  <si>
    <t>heading/subheading</t>
  </si>
  <si>
    <t>prose</t>
  </si>
  <si>
    <t>cell definition</t>
  </si>
  <si>
    <t>cell with narrative explanation</t>
  </si>
  <si>
    <t>positive numeric value</t>
  </si>
  <si>
    <t>negative numeric value</t>
  </si>
  <si>
    <t>percentage (example: 0.029)</t>
  </si>
  <si>
    <t>Fed Standard Deduction</t>
  </si>
  <si>
    <t>Fed Pers Deduction</t>
  </si>
  <si>
    <t>Fed Pers Deduction Div</t>
  </si>
  <si>
    <t>W2 FICA Tax 6.2%</t>
  </si>
  <si>
    <t>SE FICA Tax 12.4%</t>
  </si>
  <si>
    <t>Child Tax Credit Dependents</t>
  </si>
  <si>
    <t>Miscellaneous 2% Deductions</t>
  </si>
  <si>
    <t>10. All calculations are recomputed immediately after you make any change to a gray colored cell.  The "Taxes Owed" and "Taxes Due" areas show what taxes you may owe.</t>
  </si>
  <si>
    <t>11. For easier navigation, maximize the Excel window and this spreadsheet, increase your display resolution, and/or decrease the zoom factor in this spreadsheet.</t>
  </si>
  <si>
    <t>Other Taxes</t>
  </si>
  <si>
    <t>Federal Income</t>
  </si>
  <si>
    <t>Federal Deductions</t>
  </si>
  <si>
    <t>Net Qualified Inc Taxable</t>
  </si>
  <si>
    <t>Total Federal Adjustments</t>
  </si>
  <si>
    <t>Federal Adj Gross Income</t>
  </si>
  <si>
    <t>Net Schedule C Income</t>
  </si>
  <si>
    <t>Capital Losses Carryover</t>
  </si>
  <si>
    <t>Capital Losses This Year</t>
  </si>
  <si>
    <t>Other Deductions</t>
  </si>
  <si>
    <t>Medical and Dental</t>
  </si>
  <si>
    <t>Medical Deductions Threshold</t>
  </si>
  <si>
    <t>Misc Deductions Threshold</t>
  </si>
  <si>
    <t>Deducts Subject to Threshold</t>
  </si>
  <si>
    <t>AMT Income Exemption Limit</t>
  </si>
  <si>
    <t>Fed Additional Deduction</t>
  </si>
  <si>
    <t>AMT Additional Income Limit</t>
  </si>
  <si>
    <t>YES</t>
  </si>
  <si>
    <t>One Wage Earner</t>
  </si>
  <si>
    <t>NO</t>
  </si>
  <si>
    <t>AMT Capital Gains Basis</t>
  </si>
  <si>
    <t>Stock/Fund Qualified Div</t>
  </si>
  <si>
    <t>3. Fill in cells B24 through B34 with other income sources (savings account interest, stock/bond dividends, etc.).</t>
  </si>
  <si>
    <t>9. Only the gray color cells are editable.</t>
  </si>
  <si>
    <t>Charity Deductions Threshold</t>
  </si>
  <si>
    <t>AMT Computed Tax</t>
  </si>
  <si>
    <t>Normal Tax Due</t>
  </si>
  <si>
    <t>Tax Owed by AMT</t>
  </si>
  <si>
    <t>AMT Medical Deduction Rate</t>
  </si>
  <si>
    <t>Normal + AMT Tax Due</t>
  </si>
  <si>
    <t>AMT Income Exemption Rate</t>
  </si>
  <si>
    <t>Other Adjustments/Prefs</t>
  </si>
  <si>
    <t>60mo Cap Gains Taxable</t>
  </si>
  <si>
    <t>Primary Job W2</t>
  </si>
  <si>
    <t>Bank #1 Interest</t>
  </si>
  <si>
    <t>Bank #2 Interest</t>
  </si>
  <si>
    <t>Money Market #2 Interest</t>
  </si>
  <si>
    <t>Money Market #1 Interest</t>
  </si>
  <si>
    <t>Noncash Donations</t>
  </si>
  <si>
    <t>Fed Sched A Limit Income</t>
  </si>
  <si>
    <t>Investment Inc Surtax 3.8%</t>
  </si>
  <si>
    <t>Senior Medical Ded Threshold</t>
  </si>
  <si>
    <t>State Tax Refund</t>
  </si>
  <si>
    <t>Federal Marginal Tax Rates</t>
  </si>
  <si>
    <t>Average Tax Rate</t>
  </si>
  <si>
    <t>Marginal Tax Rate</t>
  </si>
  <si>
    <t>Nontaxable State Income</t>
  </si>
  <si>
    <t>Medicare Surtax 3.8%</t>
  </si>
  <si>
    <t>Fed Income 12%</t>
  </si>
  <si>
    <t>Fed Tax 12%</t>
  </si>
  <si>
    <t>Fed Tax Rate 12%</t>
  </si>
  <si>
    <t>Fed Income 22%</t>
  </si>
  <si>
    <t>Fed Tax 22%</t>
  </si>
  <si>
    <t>Fed Tax Rate 22%</t>
  </si>
  <si>
    <t>Fed Income 24%</t>
  </si>
  <si>
    <t>Fed Tax 24%</t>
  </si>
  <si>
    <t>Fed Tax Rate 24%</t>
  </si>
  <si>
    <t>Fed Income 32%</t>
  </si>
  <si>
    <t>Fed Tax 32%</t>
  </si>
  <si>
    <t>Fed Tax Rate 32%</t>
  </si>
  <si>
    <t>Fed Income 37%</t>
  </si>
  <si>
    <t>Fed Tax 37%</t>
  </si>
  <si>
    <t>Fed Tax Rate 37%</t>
  </si>
  <si>
    <t>SALT Deduction Max</t>
  </si>
  <si>
    <t>SALT Limitation</t>
  </si>
  <si>
    <t>Total Allowed Deductions</t>
  </si>
  <si>
    <t>Fed Low Income CG Limit</t>
  </si>
  <si>
    <t>Fed Mid Income CG Tax Rate</t>
  </si>
  <si>
    <t>Fed Mid Income CG Limit</t>
  </si>
  <si>
    <t>Fed High Income CG Tax Rate</t>
  </si>
  <si>
    <t>Fed AMT LT CG Tax Rate</t>
  </si>
  <si>
    <t>Fed AMT 60mo CG Tax Rate</t>
  </si>
  <si>
    <t>Fed AMT High CG Tax Rate</t>
  </si>
  <si>
    <t>Fed AMT High CG Inc Limit</t>
  </si>
  <si>
    <t>IRS Cafeteria Plan Contribs</t>
  </si>
  <si>
    <t>1. Fill in your primary W2 (gross) income in cells J33 through J44.</t>
  </si>
  <si>
    <t>2. If you have a second source of W2 (gross) income, fill in cells N33 through N44.</t>
  </si>
  <si>
    <t>7. If you have schedule C income, fill in cells J49 through J60, and associated expenses in cells N49 through N60.</t>
  </si>
  <si>
    <t>8. If you make federal estimated tax payments, fill in cells J65 through J76.</t>
  </si>
  <si>
    <t>Marginal CG Tax Rate</t>
  </si>
  <si>
    <t>6. Fill in cell B73 with your number of dependents.</t>
  </si>
  <si>
    <t>5. Fill in cell F63 with your federal withholding tax.</t>
  </si>
  <si>
    <t>State Income and Sales Taxes</t>
  </si>
  <si>
    <t>QBI and CARES Deductions</t>
  </si>
  <si>
    <t>Stock/Fund ST Gain/Ord Divs</t>
  </si>
  <si>
    <t>Auto calculate QBI</t>
  </si>
  <si>
    <t>QBI Calculation</t>
  </si>
  <si>
    <t>QBI Deduction</t>
  </si>
  <si>
    <t>Qualified REIT/PTP Distrib</t>
  </si>
  <si>
    <t xml:space="preserve">QBI-eligible business inc (K-1) </t>
  </si>
  <si>
    <t>SSTB QBI subject to phaseout</t>
  </si>
  <si>
    <t>QBI phaseout, txbl ord income</t>
  </si>
  <si>
    <t>QBI phaseout range</t>
  </si>
  <si>
    <t>QBI deduction rate (IRS only)</t>
  </si>
  <si>
    <t>QBI (unused, phaseout %)</t>
  </si>
  <si>
    <t>Total QBI before REITs</t>
  </si>
  <si>
    <t>% QBI phaseout: (if reduced)</t>
  </si>
  <si>
    <t>Adjusted QBI before REITs</t>
  </si>
  <si>
    <t>Adj QBI + REIT/PTP Dist</t>
  </si>
  <si>
    <t>Taxable Ord Income bef. QBID</t>
  </si>
  <si>
    <t>Fed Charity Deduction Limit</t>
  </si>
  <si>
    <t>Seniors Additional Deduction</t>
  </si>
  <si>
    <t>Senior Citizen (65 or older)</t>
  </si>
  <si>
    <t>Blind</t>
  </si>
  <si>
    <t>Senior Added Tax Deduction</t>
  </si>
  <si>
    <t>Senior Phaseout Rate</t>
  </si>
  <si>
    <t>Senior Phaseout Threshold</t>
  </si>
  <si>
    <t>SALT AGI Threshold</t>
  </si>
  <si>
    <t>SALT Phaseout Rate</t>
  </si>
  <si>
    <t>SALT Deduction Minimum</t>
  </si>
  <si>
    <t>SALT Calculation</t>
  </si>
  <si>
    <t>2026 Single Filing Status</t>
  </si>
  <si>
    <t>2026 Married Joint Filing Status</t>
  </si>
  <si>
    <t>2026 Married Separate Filing Status</t>
  </si>
  <si>
    <t>2026 Head-of-Household Filing Status</t>
  </si>
  <si>
    <t>Charity Deduct AGI Threshold</t>
  </si>
  <si>
    <t>Limited Charity Non-Itemizer</t>
  </si>
  <si>
    <t>Charity Lim Highest Bracket</t>
  </si>
  <si>
    <t>QBI Min Income Threshold</t>
  </si>
  <si>
    <t>QBI Minimum Deduction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</si>
</sst>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Red]\(0.00\)"/>
  </numFmts>
  <fonts count="21" x14ac:knownFonts="1">
    <font>
      <sz val="10"/>
      <name val="Arial"/>
    </font>
    <font>
      <b/>
      <sz val="10"/>
      <name val="Arial"/>
      <family val="2"/>
    </font>
    <font>
      <sz val="10"/>
      <name val="Arial"/>
      <family val="2"/>
    </font>
    <font>
      <sz val="10"/>
      <color indexed="8"/>
      <name val="Arial"/>
      <family val="2"/>
    </font>
    <font>
      <sz val="10"/>
      <name val="Arial"/>
      <family val="2"/>
    </font>
    <font>
      <sz val="10"/>
      <color indexed="16"/>
      <name val="Arial"/>
      <family val="2"/>
    </font>
    <font>
      <sz val="10"/>
      <color indexed="12"/>
      <name val="Arial"/>
      <family val="2"/>
    </font>
    <font>
      <sz val="8"/>
      <color indexed="81"/>
      <name val="Tahoma"/>
      <family val="2"/>
    </font>
    <font>
      <sz val="10"/>
      <color indexed="12"/>
      <name val="Arial"/>
      <family val="2"/>
    </font>
    <font>
      <b/>
      <sz val="10"/>
      <name val="Arial"/>
      <family val="2"/>
    </font>
    <font>
      <b/>
      <sz val="12"/>
      <color indexed="12"/>
      <name val="Arial"/>
      <family val="2"/>
    </font>
    <font>
      <i/>
      <sz val="11"/>
      <color indexed="10"/>
      <name val="Arial"/>
      <family val="2"/>
    </font>
    <font>
      <b/>
      <u/>
      <sz val="10"/>
      <name val="Arial"/>
      <family val="2"/>
    </font>
    <font>
      <sz val="9"/>
      <color indexed="81"/>
      <name val="Tahoma"/>
      <family val="2"/>
    </font>
    <font>
      <sz val="8"/>
      <color indexed="8"/>
      <name val="Tahoma"/>
      <family val="2"/>
    </font>
    <font>
      <b/>
      <sz val="8"/>
      <color indexed="8"/>
      <name val="Arial"/>
      <family val="2"/>
    </font>
    <font>
      <sz val="8"/>
      <color indexed="8"/>
      <name val="Arial"/>
      <family val="2"/>
    </font>
    <font>
      <u/>
      <sz val="8"/>
      <color indexed="8"/>
      <name val="Arial"/>
      <family val="2"/>
    </font>
    <font>
      <i/>
      <sz val="8"/>
      <color indexed="8"/>
      <name val="Arial"/>
      <family val="2"/>
    </font>
    <font>
      <b/>
      <i/>
      <sz val="8"/>
      <color indexed="8"/>
      <name val="Arial"/>
      <family val="2"/>
    </font>
    <font>
      <sz val="10"/>
      <color indexed="8"/>
      <name val="Tahoma"/>
      <family val="2"/>
    </font>
  </fonts>
  <fills count="7">
    <fill>
      <patternFill patternType="none"/>
    </fill>
    <fill>
      <patternFill patternType="gray125"/>
    </fill>
    <fill>
      <patternFill patternType="solid">
        <fgColor indexed="22"/>
        <bgColor indexed="64"/>
      </patternFill>
    </fill>
    <fill>
      <patternFill patternType="solid">
        <fgColor indexed="29"/>
        <bgColor indexed="64"/>
      </patternFill>
    </fill>
    <fill>
      <patternFill patternType="solid">
        <fgColor indexed="11"/>
        <bgColor indexed="64"/>
      </patternFill>
    </fill>
    <fill>
      <patternFill patternType="solid">
        <fgColor indexed="49"/>
        <bgColor indexed="64"/>
      </patternFill>
    </fill>
    <fill>
      <patternFill patternType="solid">
        <fgColor indexed="13"/>
        <bgColor indexed="64"/>
      </patternFill>
    </fill>
  </fills>
  <borders count="1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s>
  <cellStyleXfs count="1">
    <xf numFmtId="0" fontId="0" fillId="0" borderId="0"/>
  </cellStyleXfs>
  <cellXfs count="99">
    <xf numFmtId="0" fontId="0" fillId="0" borderId="0" xfId="0"/>
    <xf numFmtId="0" fontId="0" fillId="0" borderId="0" xfId="0" applyNumberFormat="1"/>
    <xf numFmtId="49" fontId="0" fillId="0" borderId="0" xfId="0" applyNumberFormat="1"/>
    <xf numFmtId="40" fontId="0" fillId="0" borderId="0" xfId="0" applyNumberFormat="1"/>
    <xf numFmtId="40" fontId="0" fillId="0" borderId="0" xfId="0" applyNumberFormat="1" applyProtection="1">
      <protection hidden="1"/>
    </xf>
    <xf numFmtId="49" fontId="6" fillId="0" borderId="0" xfId="0" applyNumberFormat="1" applyFont="1" applyFill="1" applyProtection="1">
      <protection hidden="1"/>
    </xf>
    <xf numFmtId="0" fontId="0" fillId="0" borderId="0" xfId="0" applyNumberFormat="1" applyProtection="1">
      <protection hidden="1"/>
    </xf>
    <xf numFmtId="49" fontId="0" fillId="0" borderId="0" xfId="0" applyNumberFormat="1" applyProtection="1">
      <protection hidden="1"/>
    </xf>
    <xf numFmtId="49" fontId="6" fillId="0" borderId="0" xfId="0" applyNumberFormat="1" applyFont="1" applyProtection="1">
      <protection hidden="1"/>
    </xf>
    <xf numFmtId="0" fontId="0" fillId="0" borderId="0" xfId="0" applyProtection="1">
      <protection hidden="1"/>
    </xf>
    <xf numFmtId="40" fontId="8" fillId="0" borderId="0" xfId="0" applyNumberFormat="1" applyFont="1" applyProtection="1">
      <protection hidden="1"/>
    </xf>
    <xf numFmtId="49" fontId="0" fillId="0" borderId="0" xfId="0" applyNumberFormat="1" applyAlignment="1" applyProtection="1">
      <protection hidden="1"/>
    </xf>
    <xf numFmtId="0" fontId="8" fillId="0" borderId="0" xfId="0" applyFont="1" applyProtection="1">
      <protection hidden="1"/>
    </xf>
    <xf numFmtId="40" fontId="0" fillId="0" borderId="0" xfId="0" applyNumberFormat="1" applyBorder="1"/>
    <xf numFmtId="0" fontId="0" fillId="0" borderId="0" xfId="0" applyNumberFormat="1" applyBorder="1"/>
    <xf numFmtId="49" fontId="0" fillId="0" borderId="0" xfId="0" applyNumberFormat="1" applyBorder="1"/>
    <xf numFmtId="49" fontId="10" fillId="0" borderId="0" xfId="0" applyNumberFormat="1" applyFont="1" applyBorder="1" applyProtection="1">
      <protection hidden="1"/>
    </xf>
    <xf numFmtId="49" fontId="11" fillId="0" borderId="0" xfId="0" applyNumberFormat="1" applyFont="1" applyBorder="1" applyProtection="1">
      <protection hidden="1"/>
    </xf>
    <xf numFmtId="49" fontId="12" fillId="0" borderId="0" xfId="0" applyNumberFormat="1" applyFont="1" applyBorder="1" applyProtection="1">
      <protection hidden="1"/>
    </xf>
    <xf numFmtId="49" fontId="0" fillId="0" borderId="0" xfId="0" applyNumberFormat="1" applyBorder="1" applyProtection="1">
      <protection hidden="1"/>
    </xf>
    <xf numFmtId="40" fontId="4" fillId="0" borderId="1" xfId="0" applyNumberFormat="1" applyFont="1" applyBorder="1" applyProtection="1">
      <protection hidden="1"/>
    </xf>
    <xf numFmtId="0" fontId="0" fillId="0" borderId="2" xfId="0" applyNumberFormat="1" applyBorder="1" applyProtection="1">
      <protection hidden="1"/>
    </xf>
    <xf numFmtId="49" fontId="5" fillId="0" borderId="3" xfId="0" applyNumberFormat="1" applyFont="1" applyBorder="1" applyProtection="1">
      <protection hidden="1"/>
    </xf>
    <xf numFmtId="40" fontId="0" fillId="0" borderId="4" xfId="0" applyNumberFormat="1" applyBorder="1" applyProtection="1">
      <protection hidden="1"/>
    </xf>
    <xf numFmtId="0" fontId="0" fillId="0" borderId="0" xfId="0" applyNumberFormat="1" applyBorder="1" applyProtection="1">
      <protection hidden="1"/>
    </xf>
    <xf numFmtId="49" fontId="5" fillId="0" borderId="5" xfId="0" applyNumberFormat="1" applyFont="1" applyBorder="1" applyProtection="1">
      <protection hidden="1"/>
    </xf>
    <xf numFmtId="40" fontId="3" fillId="2" borderId="4" xfId="0" applyNumberFormat="1" applyFont="1" applyFill="1" applyBorder="1" applyProtection="1">
      <protection locked="0"/>
    </xf>
    <xf numFmtId="40" fontId="0" fillId="2" borderId="4" xfId="0" applyNumberFormat="1" applyFill="1" applyBorder="1" applyProtection="1">
      <protection locked="0"/>
    </xf>
    <xf numFmtId="40" fontId="4" fillId="2" borderId="4" xfId="0" applyNumberFormat="1" applyFont="1" applyFill="1" applyBorder="1" applyProtection="1">
      <protection locked="0"/>
    </xf>
    <xf numFmtId="49" fontId="0" fillId="0" borderId="5" xfId="0" applyNumberFormat="1" applyBorder="1" applyProtection="1">
      <protection hidden="1"/>
    </xf>
    <xf numFmtId="40" fontId="1" fillId="3" borderId="6" xfId="0" applyNumberFormat="1" applyFont="1" applyFill="1" applyBorder="1" applyProtection="1">
      <protection hidden="1"/>
    </xf>
    <xf numFmtId="0" fontId="0" fillId="0" borderId="7" xfId="0" applyNumberFormat="1" applyBorder="1" applyProtection="1">
      <protection hidden="1"/>
    </xf>
    <xf numFmtId="49" fontId="5" fillId="0" borderId="8" xfId="0" applyNumberFormat="1" applyFont="1" applyBorder="1" applyProtection="1">
      <protection hidden="1"/>
    </xf>
    <xf numFmtId="40" fontId="0" fillId="2" borderId="1" xfId="0" applyNumberFormat="1" applyFill="1" applyBorder="1" applyProtection="1">
      <protection locked="0"/>
    </xf>
    <xf numFmtId="0" fontId="0" fillId="0" borderId="0" xfId="0" applyBorder="1" applyProtection="1">
      <protection hidden="1"/>
    </xf>
    <xf numFmtId="0" fontId="5" fillId="0" borderId="5" xfId="0" applyFont="1" applyBorder="1" applyProtection="1">
      <protection hidden="1"/>
    </xf>
    <xf numFmtId="40" fontId="0" fillId="0" borderId="4" xfId="0" applyNumberFormat="1" applyBorder="1"/>
    <xf numFmtId="49" fontId="0" fillId="0" borderId="5" xfId="0" applyNumberFormat="1" applyBorder="1"/>
    <xf numFmtId="40" fontId="1" fillId="0" borderId="4" xfId="0" applyNumberFormat="1" applyFont="1" applyBorder="1" applyProtection="1">
      <protection hidden="1"/>
    </xf>
    <xf numFmtId="40" fontId="9" fillId="4" borderId="1" xfId="0" applyNumberFormat="1" applyFont="1" applyFill="1" applyBorder="1" applyProtection="1">
      <protection hidden="1"/>
    </xf>
    <xf numFmtId="40" fontId="0" fillId="4" borderId="4" xfId="0" applyNumberFormat="1" applyFill="1" applyBorder="1" applyProtection="1">
      <protection hidden="1"/>
    </xf>
    <xf numFmtId="40" fontId="2" fillId="4" borderId="4" xfId="0" applyNumberFormat="1" applyFont="1" applyFill="1" applyBorder="1" applyProtection="1">
      <protection hidden="1"/>
    </xf>
    <xf numFmtId="40" fontId="0" fillId="0" borderId="1" xfId="0" applyNumberFormat="1" applyBorder="1" applyProtection="1">
      <protection hidden="1"/>
    </xf>
    <xf numFmtId="0" fontId="0" fillId="0" borderId="2" xfId="0" applyBorder="1" applyProtection="1">
      <protection hidden="1"/>
    </xf>
    <xf numFmtId="0" fontId="5" fillId="0" borderId="3" xfId="0" applyFont="1" applyBorder="1" applyProtection="1">
      <protection hidden="1"/>
    </xf>
    <xf numFmtId="40" fontId="9" fillId="5" borderId="6" xfId="0" applyNumberFormat="1" applyFont="1" applyFill="1" applyBorder="1" applyProtection="1">
      <protection hidden="1"/>
    </xf>
    <xf numFmtId="0" fontId="0" fillId="0" borderId="2" xfId="0" applyNumberFormat="1" applyBorder="1"/>
    <xf numFmtId="40" fontId="9" fillId="0" borderId="6" xfId="0" applyNumberFormat="1" applyFont="1" applyBorder="1" applyProtection="1">
      <protection hidden="1"/>
    </xf>
    <xf numFmtId="0" fontId="0" fillId="0" borderId="7" xfId="0" applyNumberFormat="1" applyBorder="1"/>
    <xf numFmtId="40" fontId="1" fillId="0" borderId="6" xfId="0" applyNumberFormat="1" applyFont="1" applyBorder="1" applyProtection="1">
      <protection hidden="1"/>
    </xf>
    <xf numFmtId="0" fontId="0" fillId="0" borderId="4" xfId="0" applyBorder="1" applyProtection="1">
      <protection hidden="1"/>
    </xf>
    <xf numFmtId="0" fontId="0" fillId="0" borderId="5" xfId="0" applyBorder="1" applyProtection="1">
      <protection hidden="1"/>
    </xf>
    <xf numFmtId="40" fontId="3" fillId="0" borderId="4" xfId="0" applyNumberFormat="1" applyFont="1" applyFill="1" applyBorder="1" applyProtection="1">
      <protection hidden="1"/>
    </xf>
    <xf numFmtId="49" fontId="5" fillId="0" borderId="5" xfId="0" applyNumberFormat="1" applyFont="1" applyBorder="1"/>
    <xf numFmtId="40" fontId="2" fillId="0" borderId="4" xfId="0" applyNumberFormat="1" applyFont="1" applyFill="1" applyBorder="1" applyProtection="1">
      <protection hidden="1"/>
    </xf>
    <xf numFmtId="0" fontId="4" fillId="3" borderId="1" xfId="0" applyNumberFormat="1" applyFont="1" applyFill="1" applyBorder="1" applyProtection="1">
      <protection hidden="1"/>
    </xf>
    <xf numFmtId="0" fontId="0" fillId="5" borderId="4" xfId="0" applyNumberFormat="1" applyFill="1" applyBorder="1" applyProtection="1">
      <protection hidden="1"/>
    </xf>
    <xf numFmtId="0" fontId="0" fillId="6" borderId="4" xfId="0" applyNumberFormat="1" applyFill="1" applyBorder="1" applyProtection="1">
      <protection hidden="1"/>
    </xf>
    <xf numFmtId="0" fontId="0" fillId="4" borderId="4" xfId="0" applyNumberFormat="1" applyFill="1" applyBorder="1" applyProtection="1">
      <protection hidden="1"/>
    </xf>
    <xf numFmtId="40" fontId="0" fillId="2" borderId="4" xfId="0" applyNumberFormat="1" applyFill="1" applyBorder="1" applyProtection="1">
      <protection hidden="1"/>
    </xf>
    <xf numFmtId="49" fontId="0" fillId="0" borderId="4" xfId="0" applyNumberFormat="1" applyBorder="1" applyAlignment="1" applyProtection="1">
      <alignment horizontal="right"/>
      <protection hidden="1"/>
    </xf>
    <xf numFmtId="49" fontId="1" fillId="0" borderId="4" xfId="0" applyNumberFormat="1" applyFont="1" applyBorder="1" applyAlignment="1" applyProtection="1">
      <alignment horizontal="right"/>
      <protection hidden="1"/>
    </xf>
    <xf numFmtId="49" fontId="6" fillId="0" borderId="4" xfId="0" applyNumberFormat="1" applyFont="1" applyFill="1" applyBorder="1" applyAlignment="1" applyProtection="1">
      <alignment horizontal="right"/>
      <protection hidden="1"/>
    </xf>
    <xf numFmtId="49" fontId="5" fillId="0" borderId="4" xfId="0" applyNumberFormat="1" applyFont="1" applyBorder="1" applyAlignment="1" applyProtection="1">
      <alignment horizontal="right"/>
      <protection hidden="1"/>
    </xf>
    <xf numFmtId="10" fontId="0" fillId="0" borderId="6" xfId="0" applyNumberFormat="1" applyBorder="1" applyProtection="1">
      <protection hidden="1"/>
    </xf>
    <xf numFmtId="40" fontId="1" fillId="3" borderId="1" xfId="0" applyNumberFormat="1" applyFont="1" applyFill="1" applyBorder="1" applyProtection="1">
      <protection hidden="1"/>
    </xf>
    <xf numFmtId="40" fontId="9" fillId="3" borderId="6" xfId="0" applyNumberFormat="1" applyFont="1" applyFill="1" applyBorder="1" applyProtection="1">
      <protection hidden="1"/>
    </xf>
    <xf numFmtId="10" fontId="0" fillId="0" borderId="4" xfId="0" applyNumberFormat="1" applyBorder="1" applyProtection="1">
      <protection hidden="1"/>
    </xf>
    <xf numFmtId="38" fontId="0" fillId="2" borderId="1" xfId="0" applyNumberFormat="1" applyFill="1" applyBorder="1" applyProtection="1">
      <protection locked="0"/>
    </xf>
    <xf numFmtId="0" fontId="0" fillId="0" borderId="9" xfId="0" applyNumberFormat="1" applyBorder="1"/>
    <xf numFmtId="49" fontId="0" fillId="0" borderId="9" xfId="0" applyNumberFormat="1" applyBorder="1"/>
    <xf numFmtId="40" fontId="0" fillId="0" borderId="9" xfId="0" applyNumberFormat="1" applyBorder="1"/>
    <xf numFmtId="38" fontId="0" fillId="2" borderId="4" xfId="0" applyNumberFormat="1" applyFill="1" applyBorder="1" applyProtection="1">
      <protection locked="0"/>
    </xf>
    <xf numFmtId="40" fontId="0" fillId="0" borderId="6" xfId="0" applyNumberFormat="1" applyBorder="1" applyProtection="1">
      <protection hidden="1"/>
    </xf>
    <xf numFmtId="40" fontId="9" fillId="5" borderId="4" xfId="0" applyNumberFormat="1" applyFont="1" applyFill="1" applyBorder="1" applyProtection="1">
      <protection hidden="1"/>
    </xf>
    <xf numFmtId="49" fontId="0" fillId="2" borderId="4" xfId="0" applyNumberFormat="1" applyFill="1" applyBorder="1" applyAlignment="1" applyProtection="1">
      <alignment horizontal="right"/>
      <protection locked="0"/>
    </xf>
    <xf numFmtId="0" fontId="0" fillId="0" borderId="4" xfId="0" applyBorder="1"/>
    <xf numFmtId="38" fontId="0" fillId="2" borderId="4" xfId="0" applyNumberFormat="1" applyFill="1" applyBorder="1" applyProtection="1">
      <protection locked="0" hidden="1"/>
    </xf>
    <xf numFmtId="49" fontId="6" fillId="0" borderId="0" xfId="0" applyNumberFormat="1" applyFont="1" applyBorder="1" applyProtection="1">
      <protection hidden="1"/>
    </xf>
    <xf numFmtId="49" fontId="0" fillId="0" borderId="7" xfId="0" applyNumberFormat="1" applyBorder="1"/>
    <xf numFmtId="40" fontId="1" fillId="6" borderId="6" xfId="0" applyNumberFormat="1" applyFont="1" applyFill="1" applyBorder="1" applyProtection="1">
      <protection hidden="1"/>
    </xf>
    <xf numFmtId="40" fontId="9" fillId="4" borderId="4" xfId="0" applyNumberFormat="1" applyFont="1" applyFill="1" applyBorder="1" applyProtection="1">
      <protection hidden="1"/>
    </xf>
    <xf numFmtId="10" fontId="0" fillId="4" borderId="4" xfId="0" applyNumberFormat="1" applyFill="1" applyBorder="1" applyProtection="1">
      <protection hidden="1"/>
    </xf>
    <xf numFmtId="9" fontId="0" fillId="4" borderId="6" xfId="0" applyNumberFormat="1" applyFill="1" applyBorder="1" applyProtection="1">
      <protection hidden="1"/>
    </xf>
    <xf numFmtId="164" fontId="0" fillId="0" borderId="1" xfId="0" applyNumberFormat="1" applyBorder="1" applyProtection="1">
      <protection hidden="1"/>
    </xf>
    <xf numFmtId="10" fontId="0" fillId="0" borderId="3" xfId="0" applyNumberFormat="1" applyBorder="1" applyProtection="1">
      <protection hidden="1"/>
    </xf>
    <xf numFmtId="10" fontId="0" fillId="0" borderId="5" xfId="0" applyNumberFormat="1" applyBorder="1" applyProtection="1">
      <protection hidden="1"/>
    </xf>
    <xf numFmtId="10" fontId="0" fillId="0" borderId="8" xfId="0" applyNumberFormat="1" applyBorder="1" applyProtection="1">
      <protection hidden="1"/>
    </xf>
    <xf numFmtId="40" fontId="0" fillId="0" borderId="4" xfId="0" applyNumberFormat="1" applyFill="1" applyBorder="1" applyProtection="1">
      <protection hidden="1"/>
    </xf>
    <xf numFmtId="9" fontId="0" fillId="4" borderId="4" xfId="0" applyNumberFormat="1" applyFill="1" applyBorder="1" applyProtection="1">
      <protection hidden="1"/>
    </xf>
    <xf numFmtId="49" fontId="5" fillId="0" borderId="5" xfId="0" applyNumberFormat="1" applyFont="1" applyFill="1" applyBorder="1" applyProtection="1">
      <protection hidden="1"/>
    </xf>
    <xf numFmtId="40" fontId="0" fillId="0" borderId="1" xfId="0" applyNumberFormat="1" applyFill="1" applyBorder="1" applyProtection="1">
      <protection hidden="1"/>
    </xf>
    <xf numFmtId="49" fontId="0" fillId="0" borderId="2" xfId="0" applyNumberFormat="1" applyBorder="1" applyProtection="1">
      <protection hidden="1"/>
    </xf>
    <xf numFmtId="0" fontId="5" fillId="0" borderId="3" xfId="0" applyNumberFormat="1" applyFont="1" applyFill="1" applyBorder="1" applyProtection="1">
      <protection hidden="1"/>
    </xf>
    <xf numFmtId="40" fontId="0" fillId="0" borderId="4" xfId="0" applyNumberFormat="1" applyFill="1" applyBorder="1" applyProtection="1">
      <protection hidden="1"/>
    </xf>
    <xf numFmtId="0" fontId="5" fillId="0" borderId="5" xfId="0" applyNumberFormat="1" applyFont="1" applyFill="1" applyBorder="1" applyProtection="1">
      <protection hidden="1"/>
    </xf>
    <xf numFmtId="49" fontId="0" fillId="0" borderId="7" xfId="0" applyNumberFormat="1" applyBorder="1" applyProtection="1">
      <protection hidden="1"/>
    </xf>
    <xf numFmtId="13" fontId="0" fillId="0" borderId="4" xfId="0" applyNumberFormat="1" applyBorder="1" applyProtection="1">
      <protection hidden="1"/>
    </xf>
    <xf numFmtId="0" fontId="0" fillId="0" borderId="7" xfId="0" applyBorder="1"/>
  </cellXfs>
  <cellStyles count="1">
    <cellStyle name="Normal" xfId="0" builtinId="0"/>
  </cellStyles>
  <dxfs count="0"/>
  <tableStyles count="0" defaultTableStyle="TableStyleMedium9" defaultPivotStyle="PivotStyleMedium7"/>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editAs="absolute">
    <xdr:from>
      <xdr:col>3</xdr:col>
      <xdr:colOff>133350</xdr:colOff>
      <xdr:row>39</xdr:row>
      <xdr:rowOff>114300</xdr:rowOff>
    </xdr:from>
    <xdr:to>
      <xdr:col>3</xdr:col>
      <xdr:colOff>1333500</xdr:colOff>
      <xdr:row>41</xdr:row>
      <xdr:rowOff>104775</xdr:rowOff>
    </xdr:to>
    <xdr:sp macro="" textlink="">
      <xdr:nvSpPr>
        <xdr:cNvPr id="27649" name="Text Box 1" hidden="1">
          <a:extLst>
            <a:ext uri="{FF2B5EF4-FFF2-40B4-BE49-F238E27FC236}">
              <a16:creationId xmlns:a16="http://schemas.microsoft.com/office/drawing/2014/main" id="{8C1A856F-EF47-9F52-3D94-2C38759CE6AD}"/>
            </a:ext>
          </a:extLst>
        </xdr:cNvPr>
        <xdr:cNvSpPr txBox="1">
          <a:spLocks noChangeArrowheads="1"/>
        </xdr:cNvSpPr>
      </xdr:nvSpPr>
      <xdr:spPr bwMode="auto">
        <a:xfrm>
          <a:off x="1952625" y="6534150"/>
          <a:ext cx="1200150" cy="323850"/>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808080"/>
          </a:outerShdw>
        </a:effectLst>
        <a:extLst>
          <a:ext uri="{53640926-AAD7-44D8-BBD7-CCE9431645EC}">
            <a14:shadowObscured xmlns:a14="http://schemas.microsoft.com/office/drawing/2010/main" val="1"/>
          </a:ext>
        </a:extLst>
      </xdr:spPr>
    </xdr:sp>
    <xdr:clientData/>
  </xdr:twoCellAnchor>
  <xdr:twoCellAnchor editAs="absolute">
    <xdr:from>
      <xdr:col>3</xdr:col>
      <xdr:colOff>133350</xdr:colOff>
      <xdr:row>47</xdr:row>
      <xdr:rowOff>95250</xdr:rowOff>
    </xdr:from>
    <xdr:to>
      <xdr:col>3</xdr:col>
      <xdr:colOff>1333500</xdr:colOff>
      <xdr:row>51</xdr:row>
      <xdr:rowOff>0</xdr:rowOff>
    </xdr:to>
    <xdr:sp macro="" textlink="">
      <xdr:nvSpPr>
        <xdr:cNvPr id="27650" name="Text Box 2" hidden="1">
          <a:extLst>
            <a:ext uri="{FF2B5EF4-FFF2-40B4-BE49-F238E27FC236}">
              <a16:creationId xmlns:a16="http://schemas.microsoft.com/office/drawing/2014/main" id="{BE462961-5E03-06E8-A130-61644EAA4E17}"/>
            </a:ext>
          </a:extLst>
        </xdr:cNvPr>
        <xdr:cNvSpPr txBox="1">
          <a:spLocks noChangeArrowheads="1"/>
        </xdr:cNvSpPr>
      </xdr:nvSpPr>
      <xdr:spPr bwMode="auto">
        <a:xfrm>
          <a:off x="1952625" y="7829550"/>
          <a:ext cx="1200150" cy="571500"/>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808080"/>
          </a:outerShdw>
        </a:effectLst>
        <a:extLst>
          <a:ext uri="{53640926-AAD7-44D8-BBD7-CCE9431645EC}">
            <a14:shadowObscured xmlns:a14="http://schemas.microsoft.com/office/drawing/2010/main" val="1"/>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133350</xdr:colOff>
      <xdr:row>39</xdr:row>
      <xdr:rowOff>114300</xdr:rowOff>
    </xdr:from>
    <xdr:to>
      <xdr:col>3</xdr:col>
      <xdr:colOff>1333500</xdr:colOff>
      <xdr:row>41</xdr:row>
      <xdr:rowOff>104775</xdr:rowOff>
    </xdr:to>
    <xdr:sp macro="" textlink="">
      <xdr:nvSpPr>
        <xdr:cNvPr id="29697" name="Text Box 1" hidden="1">
          <a:extLst>
            <a:ext uri="{FF2B5EF4-FFF2-40B4-BE49-F238E27FC236}">
              <a16:creationId xmlns:a16="http://schemas.microsoft.com/office/drawing/2014/main" id="{441ECF95-BA6B-5950-23BC-9656CF82CB8C}"/>
            </a:ext>
          </a:extLst>
        </xdr:cNvPr>
        <xdr:cNvSpPr txBox="1">
          <a:spLocks noChangeArrowheads="1"/>
        </xdr:cNvSpPr>
      </xdr:nvSpPr>
      <xdr:spPr bwMode="auto">
        <a:xfrm>
          <a:off x="1952625" y="6534150"/>
          <a:ext cx="1200150" cy="323850"/>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808080"/>
          </a:outerShdw>
        </a:effectLst>
        <a:extLst>
          <a:ext uri="{53640926-AAD7-44D8-BBD7-CCE9431645EC}">
            <a14:shadowObscured xmlns:a14="http://schemas.microsoft.com/office/drawing/2010/main" val="1"/>
          </a:ext>
        </a:extLst>
      </xdr:spPr>
    </xdr:sp>
    <xdr:clientData/>
  </xdr:twoCellAnchor>
  <xdr:twoCellAnchor editAs="absolute">
    <xdr:from>
      <xdr:col>3</xdr:col>
      <xdr:colOff>133350</xdr:colOff>
      <xdr:row>47</xdr:row>
      <xdr:rowOff>95250</xdr:rowOff>
    </xdr:from>
    <xdr:to>
      <xdr:col>3</xdr:col>
      <xdr:colOff>1333500</xdr:colOff>
      <xdr:row>51</xdr:row>
      <xdr:rowOff>0</xdr:rowOff>
    </xdr:to>
    <xdr:sp macro="" textlink="">
      <xdr:nvSpPr>
        <xdr:cNvPr id="29698" name="Text Box 2" hidden="1">
          <a:extLst>
            <a:ext uri="{FF2B5EF4-FFF2-40B4-BE49-F238E27FC236}">
              <a16:creationId xmlns:a16="http://schemas.microsoft.com/office/drawing/2014/main" id="{507EC88B-FEEA-2DF7-B3FA-818B636EF901}"/>
            </a:ext>
          </a:extLst>
        </xdr:cNvPr>
        <xdr:cNvSpPr txBox="1">
          <a:spLocks noChangeArrowheads="1"/>
        </xdr:cNvSpPr>
      </xdr:nvSpPr>
      <xdr:spPr bwMode="auto">
        <a:xfrm>
          <a:off x="1952625" y="7829550"/>
          <a:ext cx="1200150" cy="571500"/>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808080"/>
          </a:outerShdw>
        </a:effectLst>
        <a:extLst>
          <a:ext uri="{53640926-AAD7-44D8-BBD7-CCE9431645EC}">
            <a14:shadowObscured xmlns:a14="http://schemas.microsoft.com/office/drawing/2010/main" val="1"/>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3</xdr:col>
      <xdr:colOff>133350</xdr:colOff>
      <xdr:row>39</xdr:row>
      <xdr:rowOff>114300</xdr:rowOff>
    </xdr:from>
    <xdr:to>
      <xdr:col>3</xdr:col>
      <xdr:colOff>1333500</xdr:colOff>
      <xdr:row>41</xdr:row>
      <xdr:rowOff>104775</xdr:rowOff>
    </xdr:to>
    <xdr:sp macro="" textlink="">
      <xdr:nvSpPr>
        <xdr:cNvPr id="28673" name="Text Box 1" hidden="1">
          <a:extLst>
            <a:ext uri="{FF2B5EF4-FFF2-40B4-BE49-F238E27FC236}">
              <a16:creationId xmlns:a16="http://schemas.microsoft.com/office/drawing/2014/main" id="{0BBBC3AE-F156-C3DD-B1C0-1F951223C6F1}"/>
            </a:ext>
          </a:extLst>
        </xdr:cNvPr>
        <xdr:cNvSpPr txBox="1">
          <a:spLocks noChangeArrowheads="1"/>
        </xdr:cNvSpPr>
      </xdr:nvSpPr>
      <xdr:spPr bwMode="auto">
        <a:xfrm>
          <a:off x="1952625" y="6534150"/>
          <a:ext cx="1200150" cy="323850"/>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808080"/>
          </a:outerShdw>
        </a:effectLst>
        <a:extLst>
          <a:ext uri="{53640926-AAD7-44D8-BBD7-CCE9431645EC}">
            <a14:shadowObscured xmlns:a14="http://schemas.microsoft.com/office/drawing/2010/main" val="1"/>
          </a:ext>
        </a:extLst>
      </xdr:spPr>
    </xdr:sp>
    <xdr:clientData/>
  </xdr:twoCellAnchor>
  <xdr:twoCellAnchor editAs="absolute">
    <xdr:from>
      <xdr:col>3</xdr:col>
      <xdr:colOff>133350</xdr:colOff>
      <xdr:row>47</xdr:row>
      <xdr:rowOff>95250</xdr:rowOff>
    </xdr:from>
    <xdr:to>
      <xdr:col>3</xdr:col>
      <xdr:colOff>1333500</xdr:colOff>
      <xdr:row>51</xdr:row>
      <xdr:rowOff>0</xdr:rowOff>
    </xdr:to>
    <xdr:sp macro="" textlink="">
      <xdr:nvSpPr>
        <xdr:cNvPr id="28674" name="Text Box 2" hidden="1">
          <a:extLst>
            <a:ext uri="{FF2B5EF4-FFF2-40B4-BE49-F238E27FC236}">
              <a16:creationId xmlns:a16="http://schemas.microsoft.com/office/drawing/2014/main" id="{2C3F77AD-A619-818B-2A5C-B7959E625EA1}"/>
            </a:ext>
          </a:extLst>
        </xdr:cNvPr>
        <xdr:cNvSpPr txBox="1">
          <a:spLocks noChangeArrowheads="1"/>
        </xdr:cNvSpPr>
      </xdr:nvSpPr>
      <xdr:spPr bwMode="auto">
        <a:xfrm>
          <a:off x="1952625" y="7829550"/>
          <a:ext cx="1200150" cy="571500"/>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808080"/>
          </a:outerShdw>
        </a:effectLst>
        <a:extLst>
          <a:ext uri="{53640926-AAD7-44D8-BBD7-CCE9431645EC}">
            <a14:shadowObscured xmlns:a14="http://schemas.microsoft.com/office/drawing/2010/main" val="1"/>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EB5D62-26B9-4C83-A1FE-30019446DCE1}">
  <dimension ref="A1:Y175"/>
  <sheetViews>
    <sheetView showGridLines="0" tabSelected="1" workbookViewId="0">
      <selection activeCell="B24" sqref="B24"/>
    </sheetView>
  </sheetViews>
  <sheetFormatPr defaultColWidth="8.85546875" defaultRowHeight="12.75" x14ac:dyDescent="0.2"/>
  <cols>
    <col min="1" max="1" width="9.140625" style="3" customWidth="1"/>
    <col min="2" max="2" width="15.7109375" style="1" customWidth="1"/>
    <col min="3" max="3" width="2.42578125" style="2" customWidth="1"/>
    <col min="4" max="4" width="26.42578125" style="1" customWidth="1"/>
    <col min="5" max="5" width="9.140625" style="3" customWidth="1"/>
    <col min="6" max="6" width="15.7109375" style="1" customWidth="1"/>
    <col min="7" max="7" width="2.42578125" style="2" customWidth="1"/>
    <col min="8" max="8" width="27.140625" style="1" customWidth="1"/>
    <col min="9" max="9" width="9.140625" style="3" customWidth="1"/>
    <col min="10" max="10" width="15.7109375" style="1" customWidth="1"/>
    <col min="11" max="11" width="2.42578125" style="2" customWidth="1"/>
    <col min="12" max="12" width="21.7109375" style="1" customWidth="1"/>
    <col min="13" max="13" width="9.140625" style="3" customWidth="1"/>
    <col min="14" max="14" width="15.7109375" style="1" customWidth="1"/>
    <col min="15" max="15" width="2.42578125" style="2" customWidth="1"/>
    <col min="16" max="16" width="25.28515625" style="1" customWidth="1"/>
    <col min="17" max="17" width="9.140625" style="3" customWidth="1"/>
    <col min="18" max="18" width="9.140625" style="1" customWidth="1"/>
    <col min="19" max="19" width="9.140625" style="2" customWidth="1"/>
  </cols>
  <sheetData>
    <row r="1" spans="1:4" ht="15.75" x14ac:dyDescent="0.25">
      <c r="A1" s="13"/>
      <c r="B1" s="14"/>
      <c r="C1" s="15"/>
      <c r="D1" s="16" t="s">
        <v>79</v>
      </c>
    </row>
    <row r="2" spans="1:4" x14ac:dyDescent="0.2">
      <c r="A2" s="13"/>
      <c r="B2" s="14"/>
      <c r="C2" s="15"/>
      <c r="D2" s="14"/>
    </row>
    <row r="3" spans="1:4" ht="14.25" x14ac:dyDescent="0.2">
      <c r="A3" s="13"/>
      <c r="B3" s="14"/>
      <c r="C3" s="15"/>
      <c r="D3" s="17" t="s">
        <v>250</v>
      </c>
    </row>
    <row r="4" spans="1:4" x14ac:dyDescent="0.2">
      <c r="A4" s="13"/>
      <c r="B4" s="14"/>
      <c r="C4" s="15"/>
      <c r="D4" s="14"/>
    </row>
    <row r="5" spans="1:4" x14ac:dyDescent="0.2">
      <c r="A5" s="18" t="s">
        <v>78</v>
      </c>
      <c r="B5" s="14"/>
      <c r="C5" s="15"/>
      <c r="D5" s="14"/>
    </row>
    <row r="6" spans="1:4" x14ac:dyDescent="0.2">
      <c r="A6" s="19"/>
      <c r="B6" s="14"/>
      <c r="C6" s="15"/>
      <c r="D6" s="14"/>
    </row>
    <row r="7" spans="1:4" x14ac:dyDescent="0.2">
      <c r="A7" s="19" t="s">
        <v>214</v>
      </c>
      <c r="B7" s="14"/>
      <c r="C7" s="15"/>
      <c r="D7" s="14"/>
    </row>
    <row r="8" spans="1:4" x14ac:dyDescent="0.2">
      <c r="A8" s="19" t="s">
        <v>215</v>
      </c>
      <c r="B8" s="14"/>
      <c r="C8" s="15"/>
      <c r="D8" s="14"/>
    </row>
    <row r="9" spans="1:4" x14ac:dyDescent="0.2">
      <c r="A9" s="19" t="s">
        <v>161</v>
      </c>
      <c r="B9" s="14"/>
      <c r="C9" s="15"/>
      <c r="D9" s="14"/>
    </row>
    <row r="10" spans="1:4" x14ac:dyDescent="0.2">
      <c r="A10" s="19" t="s">
        <v>80</v>
      </c>
      <c r="B10" s="14"/>
      <c r="C10" s="15"/>
      <c r="D10" s="14"/>
    </row>
    <row r="11" spans="1:4" x14ac:dyDescent="0.2">
      <c r="A11" s="19" t="s">
        <v>220</v>
      </c>
      <c r="B11" s="14"/>
      <c r="C11" s="15"/>
      <c r="D11" s="14"/>
    </row>
    <row r="12" spans="1:4" x14ac:dyDescent="0.2">
      <c r="A12" s="19" t="s">
        <v>219</v>
      </c>
      <c r="B12" s="14"/>
      <c r="C12" s="15"/>
      <c r="D12" s="14"/>
    </row>
    <row r="13" spans="1:4" x14ac:dyDescent="0.2">
      <c r="A13" s="19" t="s">
        <v>216</v>
      </c>
      <c r="B13" s="14"/>
      <c r="C13" s="15"/>
      <c r="D13" s="14"/>
    </row>
    <row r="14" spans="1:4" x14ac:dyDescent="0.2">
      <c r="A14" s="19" t="s">
        <v>217</v>
      </c>
      <c r="B14" s="14"/>
      <c r="C14" s="15"/>
      <c r="D14" s="14"/>
    </row>
    <row r="15" spans="1:4" x14ac:dyDescent="0.2">
      <c r="A15" s="19" t="s">
        <v>162</v>
      </c>
      <c r="B15" s="14"/>
      <c r="C15" s="15"/>
      <c r="D15" s="14"/>
    </row>
    <row r="16" spans="1:4" x14ac:dyDescent="0.2">
      <c r="A16" s="19" t="s">
        <v>137</v>
      </c>
      <c r="B16" s="14"/>
      <c r="C16" s="15"/>
      <c r="D16" s="14"/>
    </row>
    <row r="17" spans="1:24" x14ac:dyDescent="0.2">
      <c r="A17" s="19" t="s">
        <v>138</v>
      </c>
      <c r="B17" s="14"/>
      <c r="C17" s="15"/>
      <c r="D17" s="14"/>
    </row>
    <row r="20" spans="1:24" ht="13.5" thickBot="1" x14ac:dyDescent="0.25">
      <c r="B20" s="5" t="s">
        <v>140</v>
      </c>
      <c r="C20" s="6"/>
      <c r="D20" s="7"/>
      <c r="E20" s="6"/>
      <c r="F20" s="8" t="s">
        <v>141</v>
      </c>
      <c r="G20" s="6"/>
      <c r="H20" s="7"/>
      <c r="I20" s="6"/>
      <c r="J20" s="8" t="s">
        <v>33</v>
      </c>
      <c r="K20" s="6"/>
      <c r="L20" s="7"/>
      <c r="M20"/>
      <c r="N20" s="12" t="s">
        <v>7</v>
      </c>
      <c r="O20" s="9"/>
      <c r="P20" s="9"/>
    </row>
    <row r="21" spans="1:24" x14ac:dyDescent="0.2">
      <c r="B21" s="20">
        <f>J46</f>
        <v>0</v>
      </c>
      <c r="C21" s="21"/>
      <c r="D21" s="22" t="s">
        <v>172</v>
      </c>
      <c r="E21" s="6"/>
      <c r="F21" s="33">
        <v>0</v>
      </c>
      <c r="G21" s="21"/>
      <c r="H21" s="22" t="s">
        <v>86</v>
      </c>
      <c r="I21" s="6"/>
      <c r="J21" s="39">
        <f>F62</f>
        <v>0</v>
      </c>
      <c r="K21" s="21"/>
      <c r="L21" s="22" t="s">
        <v>35</v>
      </c>
      <c r="M21"/>
      <c r="N21" s="42">
        <f>F35+MIN(B51*B159,MAX(0,F31-B57))+MAX(0,F32-B58)-B33</f>
        <v>0</v>
      </c>
      <c r="O21" s="43"/>
      <c r="P21" s="44" t="s">
        <v>59</v>
      </c>
    </row>
    <row r="22" spans="1:24" x14ac:dyDescent="0.2">
      <c r="B22" s="23">
        <f>N46</f>
        <v>0</v>
      </c>
      <c r="C22" s="24"/>
      <c r="D22" s="25" t="s">
        <v>88</v>
      </c>
      <c r="E22" s="6"/>
      <c r="F22" s="27">
        <v>0</v>
      </c>
      <c r="G22" s="24"/>
      <c r="H22" s="25" t="s">
        <v>221</v>
      </c>
      <c r="I22" s="6"/>
      <c r="J22" s="40">
        <f>SUM(F51:F53)</f>
        <v>0</v>
      </c>
      <c r="K22" s="14"/>
      <c r="L22" s="25" t="s">
        <v>54</v>
      </c>
      <c r="M22" s="1"/>
      <c r="N22" s="27">
        <v>0</v>
      </c>
      <c r="O22" s="14"/>
      <c r="P22" s="25" t="s">
        <v>170</v>
      </c>
    </row>
    <row r="23" spans="1:24" x14ac:dyDescent="0.2">
      <c r="B23" s="23">
        <f>J62</f>
        <v>0</v>
      </c>
      <c r="C23" s="24"/>
      <c r="D23" s="25" t="s">
        <v>0</v>
      </c>
      <c r="E23" s="6"/>
      <c r="F23" s="27">
        <v>0</v>
      </c>
      <c r="G23" s="24"/>
      <c r="H23" s="25" t="s">
        <v>71</v>
      </c>
      <c r="I23" s="6"/>
      <c r="J23" s="40">
        <f>F59</f>
        <v>0</v>
      </c>
      <c r="K23" s="24"/>
      <c r="L23" s="25" t="s">
        <v>41</v>
      </c>
      <c r="M23" s="1"/>
      <c r="N23" s="27">
        <v>0</v>
      </c>
      <c r="O23" s="14"/>
      <c r="P23" s="25" t="s">
        <v>159</v>
      </c>
    </row>
    <row r="24" spans="1:24" x14ac:dyDescent="0.2">
      <c r="B24" s="26">
        <v>0</v>
      </c>
      <c r="C24" s="24"/>
      <c r="D24" s="25" t="s">
        <v>173</v>
      </c>
      <c r="E24" s="6"/>
      <c r="F24" s="27">
        <v>0</v>
      </c>
      <c r="G24" s="24"/>
      <c r="H24" s="25" t="s">
        <v>72</v>
      </c>
      <c r="I24" s="6"/>
      <c r="J24" s="40">
        <f>F54-F55</f>
        <v>0</v>
      </c>
      <c r="K24" s="24"/>
      <c r="L24" s="25" t="s">
        <v>38</v>
      </c>
      <c r="M24" s="1"/>
      <c r="N24" s="23">
        <f>MAX(0,B51-MAX(B33,(F36-F37)-N21)+N22-F44-B70-IF(N23=0,0,SUM(B54:B55)-N23))</f>
        <v>0</v>
      </c>
      <c r="O24" s="34"/>
      <c r="P24" s="35" t="s">
        <v>63</v>
      </c>
    </row>
    <row r="25" spans="1:24" x14ac:dyDescent="0.2">
      <c r="B25" s="27">
        <v>0</v>
      </c>
      <c r="C25" s="24"/>
      <c r="D25" s="25" t="s">
        <v>174</v>
      </c>
      <c r="E25" s="6"/>
      <c r="F25" s="27">
        <v>0</v>
      </c>
      <c r="G25" s="24"/>
      <c r="H25" s="25" t="s">
        <v>91</v>
      </c>
      <c r="I25" s="6"/>
      <c r="J25" s="40">
        <f>F68</f>
        <v>0</v>
      </c>
      <c r="K25" s="24"/>
      <c r="L25" s="25" t="s">
        <v>43</v>
      </c>
      <c r="M25" s="1"/>
      <c r="N25" s="23">
        <f>IF(N24&lt;=B153,B152,MAX(0,B152-((N24-B153)*B154)))</f>
        <v>90100</v>
      </c>
      <c r="O25" s="34"/>
      <c r="P25" s="35" t="s">
        <v>60</v>
      </c>
    </row>
    <row r="26" spans="1:24" x14ac:dyDescent="0.2">
      <c r="B26" s="27">
        <v>0</v>
      </c>
      <c r="C26" s="24"/>
      <c r="D26" s="25" t="s">
        <v>176</v>
      </c>
      <c r="E26" s="6"/>
      <c r="F26" s="27">
        <v>0</v>
      </c>
      <c r="G26" s="24"/>
      <c r="H26" s="25" t="s">
        <v>77</v>
      </c>
      <c r="I26" s="6"/>
      <c r="J26" s="41">
        <f>J78</f>
        <v>0</v>
      </c>
      <c r="K26" s="24"/>
      <c r="L26" s="25" t="s">
        <v>46</v>
      </c>
      <c r="M26" s="1"/>
      <c r="N26" s="23">
        <f>MAX(0,N24-N25)+IF(OR(B160=0,B160&gt;(N24-N25)),0,MIN(B152,B154*(N24-N25-B160)))</f>
        <v>0</v>
      </c>
      <c r="O26" s="34"/>
      <c r="P26" s="35" t="s">
        <v>62</v>
      </c>
    </row>
    <row r="27" spans="1:24" x14ac:dyDescent="0.2">
      <c r="B27" s="26">
        <v>0</v>
      </c>
      <c r="C27" s="24"/>
      <c r="D27" s="25" t="s">
        <v>175</v>
      </c>
      <c r="E27" s="6"/>
      <c r="F27" s="27">
        <v>0</v>
      </c>
      <c r="G27" s="24"/>
      <c r="H27" s="25" t="s">
        <v>2</v>
      </c>
      <c r="I27" s="6"/>
      <c r="J27" s="81">
        <f>F70</f>
        <v>0</v>
      </c>
      <c r="K27" s="24"/>
      <c r="L27" s="25" t="s">
        <v>52</v>
      </c>
      <c r="M27" s="1"/>
      <c r="N27" s="23">
        <f>MAX(0,B106*MIN(N26,IF(N23&gt;0,N23,B54))+IF(N23=0,N23,B55)*B107+IF(N26-IF(N23&gt;0,N23,B54-B55)&gt;B157,B156*MAX(0,N26-IF(N23&gt;0,N23,B54-B55))-B158,B155*MAX(0,N26-IF(N23&gt;0,N23,B54-B55))))+IF(N26&gt;B109,((B108-B106)*MIN(B54,N26-B109)),0)</f>
        <v>0</v>
      </c>
      <c r="O27" s="24"/>
      <c r="P27" s="25" t="s">
        <v>164</v>
      </c>
    </row>
    <row r="28" spans="1:24" x14ac:dyDescent="0.2">
      <c r="B28" s="27">
        <v>0</v>
      </c>
      <c r="C28" s="24"/>
      <c r="D28" s="25" t="s">
        <v>185</v>
      </c>
      <c r="E28" s="6"/>
      <c r="F28" s="27">
        <v>0</v>
      </c>
      <c r="G28" s="24"/>
      <c r="H28" s="25" t="s">
        <v>3</v>
      </c>
      <c r="I28" s="6"/>
      <c r="J28" s="82">
        <f>IF(F46=0,0,F62/F46)</f>
        <v>0</v>
      </c>
      <c r="K28" s="15"/>
      <c r="L28" s="25" t="s">
        <v>183</v>
      </c>
      <c r="M28" s="1"/>
      <c r="N28" s="27">
        <v>0</v>
      </c>
      <c r="O28" s="14"/>
      <c r="P28" s="25" t="s">
        <v>76</v>
      </c>
    </row>
    <row r="29" spans="1:24" ht="13.5" thickBot="1" x14ac:dyDescent="0.25">
      <c r="B29" s="26">
        <v>0</v>
      </c>
      <c r="C29" s="24"/>
      <c r="D29" s="25" t="s">
        <v>160</v>
      </c>
      <c r="E29" s="6"/>
      <c r="F29" s="26">
        <v>0</v>
      </c>
      <c r="G29" s="24"/>
      <c r="H29" s="25" t="s">
        <v>177</v>
      </c>
      <c r="I29" s="6"/>
      <c r="J29" s="89">
        <f>VLOOKUP(F46,B169:C175,2)</f>
        <v>0.1</v>
      </c>
      <c r="K29" s="15"/>
      <c r="L29" s="25" t="s">
        <v>184</v>
      </c>
      <c r="N29" s="45">
        <f>IF(OR(B78="1",B78="y",B78="Y",B78="yes",B78="YES",B78="Yes",B78="true",B78="TRUE",B78="True"),ROUND(MAX(0,N27-N28-F49),0),MAX(0,N27-N28-F49))</f>
        <v>0</v>
      </c>
      <c r="O29" s="31"/>
      <c r="P29" s="32" t="s">
        <v>166</v>
      </c>
    </row>
    <row r="30" spans="1:24" ht="13.5" thickBot="1" x14ac:dyDescent="0.25">
      <c r="B30" s="26">
        <v>0</v>
      </c>
      <c r="C30" s="24"/>
      <c r="D30" s="25" t="s">
        <v>223</v>
      </c>
      <c r="E30" s="6"/>
      <c r="F30" s="27">
        <v>0</v>
      </c>
      <c r="G30" s="24"/>
      <c r="H30" s="25" t="s">
        <v>148</v>
      </c>
      <c r="I30" s="6"/>
      <c r="J30" s="83">
        <f>IF(F46&lt;=B102,B101,IF(AND(F46&lt;=B104,F46-SUM(B54:B55)&lt;=B102),B103,IF(F46&lt;=B104,B103,B105)))</f>
        <v>0</v>
      </c>
      <c r="K30" s="79"/>
      <c r="L30" s="32" t="s">
        <v>218</v>
      </c>
    </row>
    <row r="31" spans="1:24" x14ac:dyDescent="0.2">
      <c r="B31" s="27">
        <v>0</v>
      </c>
      <c r="C31" s="24"/>
      <c r="D31" s="25" t="s">
        <v>106</v>
      </c>
      <c r="E31" s="6"/>
      <c r="F31" s="27">
        <v>0</v>
      </c>
      <c r="G31" s="14"/>
      <c r="H31" s="25" t="s">
        <v>149</v>
      </c>
      <c r="I31" s="6"/>
      <c r="M31" s="6"/>
      <c r="W31" s="1"/>
      <c r="X31" s="1"/>
    </row>
    <row r="32" spans="1:24" ht="13.5" thickBot="1" x14ac:dyDescent="0.25">
      <c r="B32" s="27">
        <v>0</v>
      </c>
      <c r="C32" s="24"/>
      <c r="D32" s="25" t="s">
        <v>4</v>
      </c>
      <c r="E32" s="6"/>
      <c r="F32" s="88">
        <v>0</v>
      </c>
      <c r="G32" s="34"/>
      <c r="H32" s="35" t="s">
        <v>136</v>
      </c>
      <c r="I32" s="6"/>
      <c r="J32" s="10" t="s">
        <v>73</v>
      </c>
      <c r="K32" s="1"/>
      <c r="L32" s="2"/>
      <c r="M32" s="6"/>
      <c r="N32" s="10" t="s">
        <v>74</v>
      </c>
      <c r="O32" s="1"/>
      <c r="P32" s="2"/>
      <c r="W32" s="1"/>
      <c r="X32" s="1"/>
    </row>
    <row r="33" spans="2:24" x14ac:dyDescent="0.2">
      <c r="B33" s="28">
        <v>0</v>
      </c>
      <c r="C33" s="24"/>
      <c r="D33" s="25" t="s">
        <v>181</v>
      </c>
      <c r="E33" s="6"/>
      <c r="F33" s="36"/>
      <c r="G33" s="14"/>
      <c r="H33" s="37"/>
      <c r="I33" s="6"/>
      <c r="J33" s="33">
        <v>0</v>
      </c>
      <c r="K33" s="46"/>
      <c r="L33" s="22" t="s">
        <v>87</v>
      </c>
      <c r="M33" s="6"/>
      <c r="N33" s="33">
        <v>0</v>
      </c>
      <c r="O33" s="46"/>
      <c r="P33" s="22" t="s">
        <v>87</v>
      </c>
      <c r="W33" s="1"/>
      <c r="X33" s="1"/>
    </row>
    <row r="34" spans="2:24" x14ac:dyDescent="0.2">
      <c r="B34" s="27">
        <v>0</v>
      </c>
      <c r="C34" s="24"/>
      <c r="D34" s="25" t="s">
        <v>1</v>
      </c>
      <c r="E34" s="6"/>
      <c r="F34" s="23">
        <f>SUM(F21:F27)+F30+SUM(B59:B60)</f>
        <v>0</v>
      </c>
      <c r="G34" s="24"/>
      <c r="H34" s="25" t="s">
        <v>100</v>
      </c>
      <c r="I34" s="6"/>
      <c r="J34" s="27">
        <v>0</v>
      </c>
      <c r="K34" s="14"/>
      <c r="L34" s="25" t="s">
        <v>89</v>
      </c>
      <c r="M34" s="6"/>
      <c r="N34" s="27">
        <v>0</v>
      </c>
      <c r="O34" s="14"/>
      <c r="P34" s="25" t="s">
        <v>89</v>
      </c>
      <c r="T34" s="1"/>
      <c r="U34" s="1"/>
      <c r="V34" s="1"/>
      <c r="W34" s="1"/>
      <c r="X34" s="1"/>
    </row>
    <row r="35" spans="2:24" x14ac:dyDescent="0.2">
      <c r="B35" s="27">
        <v>0</v>
      </c>
      <c r="C35" s="24"/>
      <c r="D35" s="90" t="s">
        <v>227</v>
      </c>
      <c r="E35" s="6"/>
      <c r="F35" s="23">
        <f>IF(B51-B151&lt;=0,B61,IF(B61-B150*(B51-B151)&lt;B149,B149,MAX(B149,B61)-B150*(B51-B151)))</f>
        <v>0</v>
      </c>
      <c r="G35" s="15"/>
      <c r="H35" s="25" t="s">
        <v>203</v>
      </c>
      <c r="I35" s="6"/>
      <c r="J35" s="27">
        <v>0</v>
      </c>
      <c r="K35" s="14"/>
      <c r="L35" s="25" t="s">
        <v>90</v>
      </c>
      <c r="M35" s="6"/>
      <c r="N35" s="27">
        <v>0</v>
      </c>
      <c r="O35" s="14"/>
      <c r="P35" s="25" t="s">
        <v>90</v>
      </c>
      <c r="T35" s="1"/>
      <c r="U35" s="1"/>
      <c r="V35" s="1"/>
      <c r="W35" s="1"/>
      <c r="X35" s="1"/>
    </row>
    <row r="36" spans="2:24" x14ac:dyDescent="0.2">
      <c r="B36" s="27">
        <v>0</v>
      </c>
      <c r="C36" s="24"/>
      <c r="D36" s="90" t="s">
        <v>228</v>
      </c>
      <c r="E36" s="6"/>
      <c r="F36" s="23">
        <f>F21+F27+F30+F35+SUM(B59:B60)</f>
        <v>0</v>
      </c>
      <c r="G36" s="15"/>
      <c r="H36" s="25" t="s">
        <v>204</v>
      </c>
      <c r="I36" s="6"/>
      <c r="J36" s="27">
        <v>0</v>
      </c>
      <c r="K36" s="14"/>
      <c r="L36" s="25" t="s">
        <v>92</v>
      </c>
      <c r="M36" s="6"/>
      <c r="N36" s="27">
        <v>0</v>
      </c>
      <c r="O36" s="14"/>
      <c r="P36" s="25" t="s">
        <v>92</v>
      </c>
      <c r="T36" s="1"/>
      <c r="U36" s="1"/>
      <c r="V36" s="1"/>
      <c r="W36" s="1"/>
      <c r="X36" s="1"/>
    </row>
    <row r="37" spans="2:24" x14ac:dyDescent="0.2">
      <c r="B37" s="23"/>
      <c r="C37" s="24"/>
      <c r="D37" s="29"/>
      <c r="E37" s="6"/>
      <c r="F37" s="23">
        <f>MIN(B124*F36,B123*MAX(B51-B122,0))</f>
        <v>0</v>
      </c>
      <c r="G37" s="24"/>
      <c r="H37" s="25" t="s">
        <v>97</v>
      </c>
      <c r="I37" s="6"/>
      <c r="J37" s="27">
        <v>0</v>
      </c>
      <c r="K37" s="14"/>
      <c r="L37" s="25" t="s">
        <v>93</v>
      </c>
      <c r="M37" s="6"/>
      <c r="N37" s="27">
        <v>0</v>
      </c>
      <c r="O37" s="14"/>
      <c r="P37" s="25" t="s">
        <v>93</v>
      </c>
      <c r="T37" s="1"/>
      <c r="U37" s="1"/>
      <c r="V37" s="1"/>
      <c r="W37" s="1"/>
      <c r="X37" s="1"/>
    </row>
    <row r="38" spans="2:24" ht="13.5" thickBot="1" x14ac:dyDescent="0.25">
      <c r="B38" s="30">
        <f>SUM(B21:B36)</f>
        <v>0</v>
      </c>
      <c r="C38" s="31"/>
      <c r="D38" s="32" t="s">
        <v>6</v>
      </c>
      <c r="E38" s="6"/>
      <c r="F38" s="38">
        <f>MAX(F36-F37,B112+(SUM(B75:B76)*B113)+MIN(B147,F28))+IF(B112+(SUM(B75:B76)*B113)&lt;F36-F37,0,MIN(B125,F28))</f>
        <v>16100</v>
      </c>
      <c r="G38" s="24"/>
      <c r="H38" s="25" t="s">
        <v>101</v>
      </c>
      <c r="I38" s="6"/>
      <c r="J38" s="27">
        <v>0</v>
      </c>
      <c r="K38" s="14"/>
      <c r="L38" s="25" t="s">
        <v>94</v>
      </c>
      <c r="M38" s="6"/>
      <c r="N38" s="27">
        <v>0</v>
      </c>
      <c r="O38" s="14"/>
      <c r="P38" s="25" t="s">
        <v>94</v>
      </c>
      <c r="T38" s="1"/>
      <c r="U38" s="1"/>
      <c r="V38" s="1"/>
      <c r="W38" s="1"/>
      <c r="X38" s="1"/>
    </row>
    <row r="39" spans="2:24" x14ac:dyDescent="0.2">
      <c r="B39" s="4"/>
      <c r="C39" s="6"/>
      <c r="D39" s="7"/>
      <c r="E39" s="6"/>
      <c r="F39" s="23"/>
      <c r="G39" s="24"/>
      <c r="H39" s="29"/>
      <c r="I39" s="6"/>
      <c r="J39" s="27">
        <v>0</v>
      </c>
      <c r="K39" s="14"/>
      <c r="L39" s="25" t="s">
        <v>95</v>
      </c>
      <c r="M39" s="6"/>
      <c r="N39" s="27">
        <v>0</v>
      </c>
      <c r="O39" s="14"/>
      <c r="P39" s="25" t="s">
        <v>95</v>
      </c>
      <c r="T39" s="1"/>
      <c r="U39" s="1"/>
      <c r="V39" s="1"/>
      <c r="W39" s="1"/>
      <c r="X39" s="1"/>
    </row>
    <row r="40" spans="2:24" ht="13.5" thickBot="1" x14ac:dyDescent="0.25">
      <c r="B40" s="8" t="s">
        <v>27</v>
      </c>
      <c r="C40" s="6"/>
      <c r="D40" s="7"/>
      <c r="E40" s="6"/>
      <c r="F40" s="23">
        <f>B114*B74</f>
        <v>0</v>
      </c>
      <c r="G40" s="24"/>
      <c r="H40" s="25" t="s">
        <v>28</v>
      </c>
      <c r="I40" s="6"/>
      <c r="J40" s="27">
        <v>0</v>
      </c>
      <c r="K40" s="14"/>
      <c r="L40" s="25" t="s">
        <v>96</v>
      </c>
      <c r="M40" s="6"/>
      <c r="N40" s="27">
        <v>0</v>
      </c>
      <c r="O40" s="14"/>
      <c r="P40" s="25" t="s">
        <v>96</v>
      </c>
      <c r="T40" s="1"/>
      <c r="U40" s="1"/>
      <c r="V40" s="1"/>
      <c r="W40" s="1"/>
      <c r="X40" s="1"/>
    </row>
    <row r="41" spans="2:24" x14ac:dyDescent="0.2">
      <c r="B41" s="42">
        <f>N62</f>
        <v>0</v>
      </c>
      <c r="C41" s="21"/>
      <c r="D41" s="22" t="s">
        <v>29</v>
      </c>
      <c r="E41" s="6"/>
      <c r="F41" s="23">
        <f>F40*B117*CEILING(MAX((B51-B116)/B115,0),1)</f>
        <v>0</v>
      </c>
      <c r="G41" s="24"/>
      <c r="H41" s="25" t="s">
        <v>97</v>
      </c>
      <c r="I41" s="6"/>
      <c r="J41" s="27">
        <v>0</v>
      </c>
      <c r="K41" s="14"/>
      <c r="L41" s="25" t="s">
        <v>98</v>
      </c>
      <c r="M41" s="6"/>
      <c r="N41" s="27">
        <v>0</v>
      </c>
      <c r="O41" s="14"/>
      <c r="P41" s="25" t="s">
        <v>98</v>
      </c>
      <c r="T41" s="1"/>
      <c r="U41" s="1"/>
      <c r="V41" s="1"/>
      <c r="W41" s="1"/>
      <c r="X41" s="1"/>
    </row>
    <row r="42" spans="2:24" x14ac:dyDescent="0.2">
      <c r="B42" s="23">
        <f>(F59+MAX(0,B130*(B52-B111)))/2</f>
        <v>0</v>
      </c>
      <c r="C42" s="24"/>
      <c r="D42" s="25" t="s">
        <v>30</v>
      </c>
      <c r="E42" s="6"/>
      <c r="F42" s="23">
        <f>MAX(0,F40-F41)</f>
        <v>0</v>
      </c>
      <c r="G42" s="24"/>
      <c r="H42" s="25" t="s">
        <v>31</v>
      </c>
      <c r="I42" s="6"/>
      <c r="J42" s="27">
        <v>0</v>
      </c>
      <c r="K42" s="14"/>
      <c r="L42" s="25" t="s">
        <v>99</v>
      </c>
      <c r="M42" s="6"/>
      <c r="N42" s="27">
        <v>0</v>
      </c>
      <c r="O42" s="14"/>
      <c r="P42" s="25" t="s">
        <v>99</v>
      </c>
      <c r="T42" s="1"/>
      <c r="U42" s="1"/>
      <c r="V42" s="1"/>
      <c r="W42" s="1"/>
      <c r="X42" s="1"/>
    </row>
    <row r="43" spans="2:24" x14ac:dyDescent="0.2">
      <c r="B43" s="27">
        <v>0</v>
      </c>
      <c r="C43" s="24"/>
      <c r="D43" s="25" t="s">
        <v>32</v>
      </c>
      <c r="E43" s="6"/>
      <c r="F43" s="23">
        <f>IF(B76&gt;=1,1,MAX(0,B76))*MAX(0,B140-MAX(0,B141*(B51-B142)))</f>
        <v>0</v>
      </c>
      <c r="H43" s="25" t="s">
        <v>240</v>
      </c>
      <c r="I43" s="6"/>
      <c r="J43" s="27">
        <v>0</v>
      </c>
      <c r="K43" s="14"/>
      <c r="L43" s="25" t="s">
        <v>102</v>
      </c>
      <c r="M43" s="6"/>
      <c r="N43" s="27">
        <v>0</v>
      </c>
      <c r="O43" s="14"/>
      <c r="P43" s="25" t="s">
        <v>102</v>
      </c>
      <c r="T43" s="1"/>
      <c r="U43" s="1"/>
      <c r="V43" s="1"/>
      <c r="W43" s="1"/>
      <c r="X43" s="1"/>
    </row>
    <row r="44" spans="2:24" x14ac:dyDescent="0.2">
      <c r="B44" s="27">
        <v>0</v>
      </c>
      <c r="C44" s="24"/>
      <c r="D44" s="25" t="s">
        <v>213</v>
      </c>
      <c r="E44" s="6"/>
      <c r="F44" s="27">
        <v>0</v>
      </c>
      <c r="G44" s="24"/>
      <c r="H44" s="25" t="s">
        <v>222</v>
      </c>
      <c r="I44" s="6"/>
      <c r="J44" s="27">
        <v>0</v>
      </c>
      <c r="K44" s="14"/>
      <c r="L44" s="25" t="s">
        <v>103</v>
      </c>
      <c r="M44" s="6"/>
      <c r="N44" s="27">
        <v>0</v>
      </c>
      <c r="O44" s="14"/>
      <c r="P44" s="25" t="s">
        <v>103</v>
      </c>
      <c r="T44" s="1"/>
      <c r="U44" s="1"/>
      <c r="V44" s="1"/>
      <c r="W44" s="1"/>
      <c r="X44" s="1"/>
    </row>
    <row r="45" spans="2:24" x14ac:dyDescent="0.2">
      <c r="B45" s="27">
        <v>0</v>
      </c>
      <c r="C45" s="24"/>
      <c r="D45" s="25" t="s">
        <v>147</v>
      </c>
      <c r="E45" s="6"/>
      <c r="F45" s="23"/>
      <c r="G45" s="24"/>
      <c r="H45" s="29"/>
      <c r="I45" s="6"/>
      <c r="J45" s="36"/>
      <c r="K45" s="14"/>
      <c r="L45" s="29"/>
      <c r="M45" s="6"/>
      <c r="N45" s="36"/>
      <c r="O45" s="14"/>
      <c r="P45" s="29"/>
      <c r="T45" s="1"/>
      <c r="U45" s="1"/>
      <c r="V45" s="1"/>
      <c r="W45" s="1"/>
      <c r="X45" s="1"/>
    </row>
    <row r="46" spans="2:24" ht="13.5" thickBot="1" x14ac:dyDescent="0.25">
      <c r="B46" s="27">
        <v>0</v>
      </c>
      <c r="C46" s="24"/>
      <c r="D46" s="25" t="s">
        <v>148</v>
      </c>
      <c r="E46" s="6"/>
      <c r="F46" s="30">
        <f>MAX(0,B51-F38-SUM(F42:F44)-(B70*IF(OR(B80="1",B80="y",B80="Y",B80="yes",B80="YES",B80="Yes",B80="true",B80="TRUE",B80="True"),1,0)))</f>
        <v>0</v>
      </c>
      <c r="G46" s="31"/>
      <c r="H46" s="32" t="s">
        <v>83</v>
      </c>
      <c r="I46" s="6"/>
      <c r="J46" s="47">
        <f>SUM(J33:J44)</f>
        <v>0</v>
      </c>
      <c r="K46" s="48"/>
      <c r="L46" s="32" t="s">
        <v>25</v>
      </c>
      <c r="M46" s="6"/>
      <c r="N46" s="47">
        <f>SUM(N33:N44)</f>
        <v>0</v>
      </c>
      <c r="O46" s="48"/>
      <c r="P46" s="32" t="s">
        <v>25</v>
      </c>
      <c r="T46" s="1"/>
      <c r="U46" s="1"/>
      <c r="V46" s="1"/>
      <c r="W46" s="1"/>
      <c r="X46" s="1"/>
    </row>
    <row r="47" spans="2:24" x14ac:dyDescent="0.2">
      <c r="B47" s="36"/>
      <c r="C47" s="14"/>
      <c r="D47" s="37"/>
      <c r="E47" s="6"/>
      <c r="I47" s="6"/>
      <c r="J47" s="3"/>
      <c r="K47" s="1"/>
      <c r="L47" s="2"/>
      <c r="M47" s="6"/>
      <c r="N47" s="3"/>
      <c r="O47" s="1"/>
      <c r="P47" s="2"/>
      <c r="T47" s="1"/>
      <c r="U47" s="1"/>
      <c r="V47" s="1"/>
      <c r="W47" s="1"/>
      <c r="X47" s="1"/>
    </row>
    <row r="48" spans="2:24" ht="13.5" thickBot="1" x14ac:dyDescent="0.25">
      <c r="B48" s="49">
        <f>B41+B42+(B43*B136)+B44+B45+B46-B53</f>
        <v>0</v>
      </c>
      <c r="C48" s="31"/>
      <c r="D48" s="32" t="s">
        <v>143</v>
      </c>
      <c r="E48" s="6"/>
      <c r="F48" s="8" t="s">
        <v>55</v>
      </c>
      <c r="G48" s="6"/>
      <c r="H48" s="7"/>
      <c r="I48" s="6"/>
      <c r="J48" s="10" t="s">
        <v>24</v>
      </c>
      <c r="K48" s="6"/>
      <c r="L48" s="7"/>
      <c r="M48" s="6"/>
      <c r="N48" s="10" t="s">
        <v>29</v>
      </c>
      <c r="O48" s="6"/>
      <c r="P48" s="7"/>
      <c r="T48" s="1"/>
      <c r="U48" s="1"/>
      <c r="V48" s="1"/>
      <c r="W48" s="1"/>
      <c r="X48" s="1"/>
    </row>
    <row r="49" spans="2:25" x14ac:dyDescent="0.2">
      <c r="B49" s="4"/>
      <c r="C49" s="6"/>
      <c r="D49" s="7"/>
      <c r="E49" s="6"/>
      <c r="F49" s="42">
        <f>IF(F46-SUM(B54:B55)&gt;B98,(B99+(B100*(F46-B98-SUM(B54:B55)))),IF(F46-SUM(B54:B55)&gt;B95,(B96+(B97*(F46-B95-SUM(B54:B55)))),IF(F46-SUM(B54:B55)&gt;B92,(B93+(B94*(F46-B92-SUM(B54:B55)))),IF(F46-SUM(B54:B55)&gt;B89,(B90+(B91*(F46-B89-SUM(B54:B55)))),IF(F46-SUM(B54:B55)&gt;B86,((B87+(B88*(F46-B86-SUM(B54:B55))))),IF(F46-SUM(B54:B55)&gt;B83,(B84+(B85*(F46-B83-SUM(B54:B55)))),B82*MAX(0,F46-SUM(B54:B55))))))))+IF(F46&lt;=B102,B101*SUM(B54:B55),IF(AND(F46&lt;=B104,F46-SUM(B54:B55)&lt;=B102),B103*(F46-B102)+B101*(MAX(0,SUM(B54:B55)-(F46-B102))),IF(F46&lt;=B104,B103*SUM(B54:B55),IF(F46-SUM(B54:B55)&gt;B104,B105*SUM(B54:B55),B105*(F46-B104)+B103*(B104-MAX(B102,MAX(0,F46-SUM(B54:B55))))))))</f>
        <v>0</v>
      </c>
      <c r="G49" s="21"/>
      <c r="H49" s="22" t="s">
        <v>36</v>
      </c>
      <c r="I49" s="6"/>
      <c r="J49" s="33">
        <v>0</v>
      </c>
      <c r="K49" s="21"/>
      <c r="L49" s="22" t="s">
        <v>87</v>
      </c>
      <c r="M49" s="6"/>
      <c r="N49" s="33">
        <v>0</v>
      </c>
      <c r="O49" s="21"/>
      <c r="P49" s="22" t="s">
        <v>87</v>
      </c>
      <c r="T49" s="1"/>
      <c r="U49" s="1"/>
      <c r="V49" s="1"/>
      <c r="W49" s="1"/>
      <c r="X49" s="1"/>
    </row>
    <row r="50" spans="2:25" ht="13.5" thickBot="1" x14ac:dyDescent="0.25">
      <c r="B50" s="8" t="s">
        <v>81</v>
      </c>
      <c r="C50" s="6"/>
      <c r="D50" s="7"/>
      <c r="E50" s="6"/>
      <c r="F50" s="27">
        <v>0</v>
      </c>
      <c r="G50" s="24"/>
      <c r="H50" s="25" t="s">
        <v>139</v>
      </c>
      <c r="I50" s="6"/>
      <c r="J50" s="27">
        <v>0</v>
      </c>
      <c r="K50" s="24"/>
      <c r="L50" s="25" t="s">
        <v>89</v>
      </c>
      <c r="M50" s="6"/>
      <c r="N50" s="27">
        <v>0</v>
      </c>
      <c r="O50" s="24"/>
      <c r="P50" s="25" t="s">
        <v>89</v>
      </c>
      <c r="Q50" s="4"/>
      <c r="R50" s="6"/>
      <c r="S50" s="7"/>
      <c r="T50" s="1"/>
      <c r="U50" s="1"/>
      <c r="V50" s="1"/>
      <c r="W50" s="1"/>
      <c r="X50" s="1"/>
      <c r="Y50" s="1"/>
    </row>
    <row r="51" spans="2:25" x14ac:dyDescent="0.2">
      <c r="B51" s="65">
        <f>MAX(0,B38-B48)</f>
        <v>0</v>
      </c>
      <c r="C51" s="21"/>
      <c r="D51" s="22" t="s">
        <v>144</v>
      </c>
      <c r="E51" s="6"/>
      <c r="F51" s="23">
        <f>IF(B128=0,B129*MAX(0,SUM(B21:B22)-B44),IF((B128&lt;=MAX(0,B129*MAX(0,SUM(B21:B22)-B44))),MAX(0,B128),B129*MAX(0,SUM(B21:B22)-B44)))</f>
        <v>0</v>
      </c>
      <c r="G51" s="14"/>
      <c r="H51" s="25" t="s">
        <v>53</v>
      </c>
      <c r="I51" s="6"/>
      <c r="J51" s="27">
        <v>0</v>
      </c>
      <c r="K51" s="24"/>
      <c r="L51" s="25" t="s">
        <v>90</v>
      </c>
      <c r="M51" s="6"/>
      <c r="N51" s="27">
        <v>0</v>
      </c>
      <c r="O51" s="24"/>
      <c r="P51" s="25" t="s">
        <v>90</v>
      </c>
      <c r="Q51" s="4"/>
      <c r="R51" s="6"/>
      <c r="S51" s="7"/>
      <c r="T51" s="1"/>
      <c r="U51" s="1"/>
      <c r="V51" s="1"/>
      <c r="W51" s="1"/>
      <c r="X51" s="1"/>
      <c r="Y51" s="1"/>
    </row>
    <row r="52" spans="2:25" x14ac:dyDescent="0.2">
      <c r="B52" s="23">
        <f>B23-B41</f>
        <v>0</v>
      </c>
      <c r="C52" s="24"/>
      <c r="D52" s="25" t="s">
        <v>145</v>
      </c>
      <c r="E52" s="6"/>
      <c r="F52" s="23">
        <f>B130*(MAX(0,SUM(B21:B22)+B52-B44-B111))</f>
        <v>0</v>
      </c>
      <c r="G52" s="14"/>
      <c r="H52" s="25" t="s">
        <v>85</v>
      </c>
      <c r="I52" s="6"/>
      <c r="J52" s="27">
        <v>0</v>
      </c>
      <c r="K52" s="24"/>
      <c r="L52" s="25" t="s">
        <v>92</v>
      </c>
      <c r="M52" s="6"/>
      <c r="N52" s="27">
        <v>0</v>
      </c>
      <c r="O52" s="24"/>
      <c r="P52" s="25" t="s">
        <v>92</v>
      </c>
      <c r="Q52" s="4"/>
      <c r="R52" s="6"/>
      <c r="S52" s="7"/>
      <c r="T52" s="1"/>
      <c r="U52" s="1"/>
      <c r="V52" s="1"/>
      <c r="W52" s="1"/>
      <c r="X52" s="1"/>
      <c r="Y52" s="1"/>
    </row>
    <row r="53" spans="2:25" x14ac:dyDescent="0.2">
      <c r="B53" s="23">
        <f>IF(SUM(B30:B32)-B45&gt;0,0,IF((B45-SUM(B30:B32))&gt;B137,(B45-B137-SUM(B30:B32)),0))</f>
        <v>0</v>
      </c>
      <c r="C53" s="24"/>
      <c r="D53" s="25" t="s">
        <v>146</v>
      </c>
      <c r="E53" s="6"/>
      <c r="F53" s="23">
        <f>IF(SUM(B21:B22)+SUM(B24:B36)+B52-SUM(B44:B45)&gt;B111,B110*MAX(0,MIN(SUM(B24:B27)+SUM(B29:B32)-(IF(B51=0,0,(SUM(B24:B27)+SUM(B29:B32))/B51)*F35),SUM(B21:B22)+SUM(B24:B36)+B52-SUM(B44:B45)-B111)),0)</f>
        <v>0</v>
      </c>
      <c r="H53" s="25" t="s">
        <v>186</v>
      </c>
      <c r="I53" s="6"/>
      <c r="J53" s="27">
        <v>0</v>
      </c>
      <c r="K53" s="24"/>
      <c r="L53" s="25" t="s">
        <v>93</v>
      </c>
      <c r="M53" s="6"/>
      <c r="N53" s="27">
        <v>0</v>
      </c>
      <c r="O53" s="24"/>
      <c r="P53" s="25" t="s">
        <v>93</v>
      </c>
      <c r="Q53" s="4"/>
      <c r="R53" s="6"/>
      <c r="S53" s="7"/>
      <c r="T53" s="1"/>
      <c r="U53" s="1"/>
      <c r="V53" s="1"/>
      <c r="W53" s="1"/>
      <c r="X53" s="1"/>
      <c r="Y53" s="1"/>
    </row>
    <row r="54" spans="2:25" x14ac:dyDescent="0.2">
      <c r="B54" s="23">
        <f>MAX(0,B31-B45)+B29</f>
        <v>0</v>
      </c>
      <c r="C54" s="24"/>
      <c r="D54" s="25" t="s">
        <v>105</v>
      </c>
      <c r="E54" s="6"/>
      <c r="F54" s="23">
        <f>IF(B132=0,B135*MAX(0,SUM(B21:B22)-B44),MIN(B132/2,B135*MIN(B133,MAX(0,B21-B44)))+MIN(B132/2,B135*MIN(B133,B22)))</f>
        <v>0</v>
      </c>
      <c r="G54" s="24"/>
      <c r="H54" s="25" t="s">
        <v>39</v>
      </c>
      <c r="I54" s="6"/>
      <c r="J54" s="27">
        <v>0</v>
      </c>
      <c r="K54" s="24"/>
      <c r="L54" s="25" t="s">
        <v>94</v>
      </c>
      <c r="M54" s="6"/>
      <c r="N54" s="27">
        <v>0</v>
      </c>
      <c r="O54" s="24"/>
      <c r="P54" s="25" t="s">
        <v>94</v>
      </c>
      <c r="Q54" s="4"/>
      <c r="R54" s="6"/>
      <c r="S54" s="7"/>
      <c r="T54" s="1"/>
      <c r="U54" s="1"/>
      <c r="V54" s="1"/>
      <c r="W54" s="1"/>
      <c r="X54" s="1"/>
      <c r="Y54" s="1"/>
    </row>
    <row r="55" spans="2:25" x14ac:dyDescent="0.2">
      <c r="B55" s="23">
        <f>MAX(0,MIN(B32,SUM(B31:B32)-B45))</f>
        <v>0</v>
      </c>
      <c r="C55" s="24"/>
      <c r="D55" s="25" t="s">
        <v>171</v>
      </c>
      <c r="E55" s="6"/>
      <c r="F55" s="23">
        <f>IF(OR(B77="1",B77="y",B77="Y",B77="yes",B77="YES",B77="Yes",B77="true",B77="TRUE",B77="True"),MAX(0,F54-(B133*B135)),0)</f>
        <v>0</v>
      </c>
      <c r="G55" s="24"/>
      <c r="H55" s="25" t="s">
        <v>42</v>
      </c>
      <c r="I55" s="6"/>
      <c r="J55" s="27">
        <v>0</v>
      </c>
      <c r="K55" s="24"/>
      <c r="L55" s="25" t="s">
        <v>95</v>
      </c>
      <c r="M55" s="6"/>
      <c r="N55" s="27">
        <v>0</v>
      </c>
      <c r="O55" s="24"/>
      <c r="P55" s="25" t="s">
        <v>95</v>
      </c>
      <c r="Q55" s="4"/>
      <c r="R55" s="6"/>
      <c r="S55" s="7"/>
      <c r="T55" s="1"/>
      <c r="U55" s="1"/>
      <c r="V55" s="1"/>
      <c r="W55" s="1"/>
      <c r="X55" s="1"/>
      <c r="Y55" s="1"/>
    </row>
    <row r="56" spans="2:25" x14ac:dyDescent="0.2">
      <c r="B56" s="23">
        <f>IF(B54+B55&lt;&gt;B38,B54+B55,MAX(0,MIN(F46,B54+B55)-B86))</f>
        <v>0</v>
      </c>
      <c r="C56" s="24"/>
      <c r="D56" s="25" t="s">
        <v>142</v>
      </c>
      <c r="E56" s="6"/>
      <c r="F56" s="76"/>
      <c r="G56" s="34"/>
      <c r="H56" s="51"/>
      <c r="I56" s="6"/>
      <c r="J56" s="27">
        <v>0</v>
      </c>
      <c r="K56" s="24"/>
      <c r="L56" s="25" t="s">
        <v>96</v>
      </c>
      <c r="M56" s="6"/>
      <c r="N56" s="27">
        <v>0</v>
      </c>
      <c r="O56" s="24"/>
      <c r="P56" s="25" t="s">
        <v>96</v>
      </c>
      <c r="Q56" s="4"/>
      <c r="R56" s="6"/>
      <c r="S56" s="7"/>
      <c r="T56" s="1"/>
      <c r="U56" s="1"/>
      <c r="V56" s="1"/>
      <c r="W56" s="1"/>
      <c r="X56" s="1"/>
      <c r="Y56" s="1"/>
    </row>
    <row r="57" spans="2:25" x14ac:dyDescent="0.2">
      <c r="B57" s="23">
        <f>B51*IF(SUM(B75:B76)=0,B138,B139)</f>
        <v>0</v>
      </c>
      <c r="C57" s="14"/>
      <c r="D57" s="25" t="s">
        <v>50</v>
      </c>
      <c r="E57" s="6"/>
      <c r="F57" s="23">
        <f>IF(B127*B52&lt;B134,0,IF(B133=0,B131*B127*B52,IF(OR(B77="1",B77="y",B77="Y",B77="yes",B77="YES",B77="Yes",B77="true",B77="TRUE",B77="True"),IF(B21+B22&gt;B133,0,B131*MIN(B133-B21-B22,B127*B52)),IF(B21&gt;B133,0,B131*MIN(B133-B21,B127*B52)))))</f>
        <v>0</v>
      </c>
      <c r="G57" s="24"/>
      <c r="H57" s="25" t="s">
        <v>44</v>
      </c>
      <c r="I57" s="6"/>
      <c r="J57" s="27">
        <v>0</v>
      </c>
      <c r="K57" s="24"/>
      <c r="L57" s="25" t="s">
        <v>98</v>
      </c>
      <c r="M57" s="6"/>
      <c r="N57" s="27">
        <v>0</v>
      </c>
      <c r="O57" s="24"/>
      <c r="P57" s="25" t="s">
        <v>98</v>
      </c>
      <c r="Q57" s="4"/>
      <c r="R57" s="6"/>
      <c r="S57" s="7"/>
      <c r="T57" s="1"/>
      <c r="U57" s="1"/>
      <c r="V57" s="1"/>
      <c r="W57" s="1"/>
      <c r="X57" s="1"/>
      <c r="Y57" s="1"/>
    </row>
    <row r="58" spans="2:25" x14ac:dyDescent="0.2">
      <c r="B58" s="23">
        <f>(0*B51*B143)+F32</f>
        <v>0</v>
      </c>
      <c r="C58" s="14"/>
      <c r="D58" s="25" t="s">
        <v>49</v>
      </c>
      <c r="E58" s="1"/>
      <c r="F58" s="23">
        <f>IF(B127*B52&lt;B134,0,IF(B128=0,MAX(0,B126*B127*B52),IF(B128&lt;=MAX(0,B126*B127*B52),B128,MAX(0,B126*B127*B52))))</f>
        <v>0</v>
      </c>
      <c r="G58" s="24"/>
      <c r="H58" s="25" t="s">
        <v>45</v>
      </c>
      <c r="I58" s="1"/>
      <c r="J58" s="27">
        <v>0</v>
      </c>
      <c r="K58" s="24"/>
      <c r="L58" s="25" t="s">
        <v>99</v>
      </c>
      <c r="M58" s="6"/>
      <c r="N58" s="27">
        <v>0</v>
      </c>
      <c r="O58" s="24"/>
      <c r="P58" s="25" t="s">
        <v>99</v>
      </c>
      <c r="Q58" s="4"/>
      <c r="R58" s="6"/>
      <c r="S58" s="7"/>
      <c r="T58" s="1"/>
      <c r="U58" s="1"/>
      <c r="V58" s="1"/>
      <c r="W58" s="1"/>
      <c r="X58" s="1"/>
      <c r="Y58" s="1"/>
    </row>
    <row r="59" spans="2:25" x14ac:dyDescent="0.2">
      <c r="B59" s="23">
        <f>MAX(0,F31-B43-B57)+MAX(0,F32-B58)</f>
        <v>0</v>
      </c>
      <c r="C59" s="24"/>
      <c r="D59" s="25" t="s">
        <v>152</v>
      </c>
      <c r="E59" s="1"/>
      <c r="F59" s="23">
        <f>F57+F58</f>
        <v>0</v>
      </c>
      <c r="G59" s="24"/>
      <c r="H59" s="25" t="s">
        <v>47</v>
      </c>
      <c r="I59" s="1"/>
      <c r="J59" s="27">
        <v>0</v>
      </c>
      <c r="K59" s="24"/>
      <c r="L59" s="25" t="s">
        <v>102</v>
      </c>
      <c r="M59" s="6"/>
      <c r="N59" s="27">
        <v>0</v>
      </c>
      <c r="O59" s="24"/>
      <c r="P59" s="25" t="s">
        <v>102</v>
      </c>
      <c r="Q59" s="4"/>
      <c r="R59" s="6"/>
      <c r="S59" s="7"/>
    </row>
    <row r="60" spans="2:25" x14ac:dyDescent="0.2">
      <c r="B60" s="23">
        <f>MAX(0,MIN(B51*B144,SUM(F28:F29))-(B51*B145)-MIN(B146*SUM(F28:F29),MAX(0,B146*(B51+SUM(F28:F29)-B98))))</f>
        <v>0</v>
      </c>
      <c r="D60" s="25" t="s">
        <v>15</v>
      </c>
      <c r="E60" s="1"/>
      <c r="F60" s="50"/>
      <c r="G60" s="34"/>
      <c r="H60" s="51"/>
      <c r="I60" s="1"/>
      <c r="J60" s="27">
        <v>0</v>
      </c>
      <c r="K60" s="24"/>
      <c r="L60" s="25" t="s">
        <v>103</v>
      </c>
      <c r="M60" s="6"/>
      <c r="N60" s="27">
        <v>0</v>
      </c>
      <c r="O60" s="24"/>
      <c r="P60" s="25" t="s">
        <v>103</v>
      </c>
      <c r="Q60" s="4"/>
      <c r="R60" s="6"/>
      <c r="S60" s="7"/>
    </row>
    <row r="61" spans="2:25" x14ac:dyDescent="0.2">
      <c r="B61" s="23">
        <f>MIN(B148,SUM(F22:F26))</f>
        <v>0</v>
      </c>
      <c r="D61" s="25" t="s">
        <v>249</v>
      </c>
      <c r="E61" s="1"/>
      <c r="F61" s="52">
        <f>F49+F50+F52+F53-F55+F59</f>
        <v>0</v>
      </c>
      <c r="G61" s="24"/>
      <c r="H61" s="25" t="s">
        <v>165</v>
      </c>
      <c r="I61" s="1"/>
      <c r="J61" s="23"/>
      <c r="K61" s="24"/>
      <c r="L61" s="29"/>
      <c r="M61" s="6"/>
      <c r="N61" s="23"/>
      <c r="O61" s="24"/>
      <c r="P61" s="29"/>
      <c r="Q61" s="4"/>
      <c r="R61" s="6"/>
      <c r="S61" s="7"/>
    </row>
    <row r="62" spans="2:25" ht="13.5" thickBot="1" x14ac:dyDescent="0.25">
      <c r="B62" s="66">
        <f>B38-F51-F54-F62-F22-F23</f>
        <v>0</v>
      </c>
      <c r="C62" s="31"/>
      <c r="D62" s="32" t="s">
        <v>58</v>
      </c>
      <c r="F62" s="74">
        <f>IF(OR(B78="1",B78="y",B78="Y",B78="yes",B78="YES",B78="Yes",B78="true",B78="TRUE",B78="True"),ROUND(F61+N29,0),F61+N29)</f>
        <v>0</v>
      </c>
      <c r="G62" s="14"/>
      <c r="H62" s="53" t="s">
        <v>168</v>
      </c>
      <c r="I62" s="6"/>
      <c r="J62" s="47">
        <f>SUM(J49:J60)</f>
        <v>0</v>
      </c>
      <c r="K62" s="31"/>
      <c r="L62" s="32" t="s">
        <v>25</v>
      </c>
      <c r="M62" s="6"/>
      <c r="N62" s="47">
        <f>SUM(N49:N60)</f>
        <v>0</v>
      </c>
      <c r="O62" s="31"/>
      <c r="P62" s="32" t="s">
        <v>26</v>
      </c>
      <c r="Q62" s="4"/>
      <c r="R62" s="6"/>
      <c r="S62" s="7"/>
    </row>
    <row r="63" spans="2:25" x14ac:dyDescent="0.2">
      <c r="F63" s="36"/>
      <c r="G63" s="14"/>
      <c r="H63" s="37"/>
      <c r="I63" s="6"/>
      <c r="J63" s="4"/>
      <c r="K63" s="6"/>
      <c r="L63" s="7"/>
      <c r="M63" s="6"/>
      <c r="N63" s="4"/>
      <c r="O63" s="6"/>
      <c r="P63" s="7"/>
      <c r="Q63" s="4"/>
      <c r="R63" s="6"/>
      <c r="S63" s="7"/>
    </row>
    <row r="64" spans="2:25" ht="13.5" thickBot="1" x14ac:dyDescent="0.25">
      <c r="B64" s="8" t="s">
        <v>226</v>
      </c>
      <c r="F64" s="27">
        <v>0</v>
      </c>
      <c r="G64" s="24"/>
      <c r="H64" s="25" t="s">
        <v>34</v>
      </c>
      <c r="I64" s="6"/>
      <c r="J64" s="8" t="s">
        <v>82</v>
      </c>
      <c r="K64" s="6"/>
      <c r="L64" s="7"/>
      <c r="M64" s="6"/>
      <c r="N64" s="4"/>
      <c r="O64" s="6"/>
      <c r="P64" s="7"/>
      <c r="Q64" s="4"/>
      <c r="R64" s="6"/>
      <c r="S64" s="7"/>
    </row>
    <row r="65" spans="2:19" x14ac:dyDescent="0.2">
      <c r="B65" s="91">
        <f>B23-B42-B43+B36</f>
        <v>0</v>
      </c>
      <c r="C65" s="92"/>
      <c r="D65" s="93" t="s">
        <v>234</v>
      </c>
      <c r="F65" s="27">
        <v>0</v>
      </c>
      <c r="G65" s="24"/>
      <c r="H65" s="25" t="s">
        <v>112</v>
      </c>
      <c r="I65" s="6"/>
      <c r="J65" s="33">
        <v>0</v>
      </c>
      <c r="K65" s="21"/>
      <c r="L65" s="22" t="s">
        <v>87</v>
      </c>
      <c r="M65" s="6"/>
      <c r="N65" s="4"/>
      <c r="O65" s="6"/>
      <c r="P65" s="7"/>
      <c r="Q65" s="4"/>
      <c r="R65" s="6"/>
      <c r="S65" s="7"/>
    </row>
    <row r="66" spans="2:19" x14ac:dyDescent="0.2">
      <c r="B66" s="67">
        <f>MAX(0,MIN(1,(((B51-F38-F42)-ROUND(B164*B161,-1))/B162)))</f>
        <v>0</v>
      </c>
      <c r="C66" s="19"/>
      <c r="D66" s="90" t="s">
        <v>235</v>
      </c>
      <c r="F66" s="27">
        <v>0</v>
      </c>
      <c r="G66" s="24"/>
      <c r="H66" s="25" t="s">
        <v>17</v>
      </c>
      <c r="I66" s="6"/>
      <c r="J66" s="27">
        <v>0</v>
      </c>
      <c r="K66" s="24"/>
      <c r="L66" s="25" t="s">
        <v>89</v>
      </c>
      <c r="M66" s="6"/>
      <c r="N66" s="4"/>
      <c r="O66" s="6"/>
      <c r="P66" s="7"/>
      <c r="Q66" s="4"/>
      <c r="R66" s="6"/>
      <c r="S66" s="7"/>
    </row>
    <row r="67" spans="2:19" x14ac:dyDescent="0.2">
      <c r="B67" s="23">
        <f>B65*(1-(B66*IF(OR(B81="1",B81="y",B81="Y",B81="yes",B81="YES",B81="Yes",B81="true",B81="TRUE",B81="True"),1,0)))</f>
        <v>0</v>
      </c>
      <c r="C67" s="19"/>
      <c r="D67" s="90" t="s">
        <v>236</v>
      </c>
      <c r="F67" s="23">
        <f>IF(B119&gt;B51,B118*B79,MAX(0,(B118*B79)-CEILING((B51-B119),B120)*B121))</f>
        <v>0</v>
      </c>
      <c r="G67" s="15"/>
      <c r="H67" s="25" t="s">
        <v>111</v>
      </c>
      <c r="I67" s="6"/>
      <c r="J67" s="27">
        <v>0</v>
      </c>
      <c r="K67" s="24"/>
      <c r="L67" s="25" t="s">
        <v>90</v>
      </c>
      <c r="M67" s="6"/>
      <c r="N67" s="4"/>
      <c r="O67" s="6"/>
      <c r="P67" s="7"/>
      <c r="Q67" s="4"/>
      <c r="R67" s="6"/>
      <c r="S67" s="7"/>
    </row>
    <row r="68" spans="2:19" x14ac:dyDescent="0.2">
      <c r="B68" s="94">
        <f>B67+B35</f>
        <v>0</v>
      </c>
      <c r="C68" s="19"/>
      <c r="D68" s="95" t="s">
        <v>237</v>
      </c>
      <c r="F68" s="54">
        <f>IF(OR(B78="1",B78="y",B78="Y",B78="yes",B78="YES",B78="Yes",B78="true",B78="TRUE",B78="True"),ROUND(MAX(0,F62-F67)-(F64+F66+MIN(F65,N29)),0),MAX(0,F62-F67)-(F64+F66+MIN(F65,N29)))</f>
        <v>0</v>
      </c>
      <c r="G68" s="24"/>
      <c r="H68" s="25" t="s">
        <v>37</v>
      </c>
      <c r="I68" s="6"/>
      <c r="J68" s="27">
        <v>0</v>
      </c>
      <c r="K68" s="24"/>
      <c r="L68" s="25" t="s">
        <v>92</v>
      </c>
      <c r="M68" s="6"/>
      <c r="N68" s="4"/>
      <c r="O68" s="6"/>
      <c r="P68" s="7"/>
      <c r="Q68" s="4"/>
      <c r="R68" s="6"/>
      <c r="S68" s="7"/>
    </row>
    <row r="69" spans="2:19" x14ac:dyDescent="0.2">
      <c r="B69" s="23">
        <f>B51-F38-F42-B29-MIN(B31,IF(B31&gt;0,SUM(B30:B31)))</f>
        <v>-16100</v>
      </c>
      <c r="C69" s="19"/>
      <c r="D69" s="95" t="s">
        <v>238</v>
      </c>
      <c r="F69" s="23">
        <f>J78</f>
        <v>0</v>
      </c>
      <c r="G69" s="24"/>
      <c r="H69" s="25" t="s">
        <v>40</v>
      </c>
      <c r="I69" s="6"/>
      <c r="J69" s="27">
        <v>0</v>
      </c>
      <c r="K69" s="24"/>
      <c r="L69" s="25" t="s">
        <v>93</v>
      </c>
      <c r="M69" s="6"/>
      <c r="N69" s="4"/>
      <c r="O69" s="6"/>
      <c r="P69" s="7"/>
      <c r="Q69" s="4"/>
      <c r="R69" s="6"/>
      <c r="S69" s="7"/>
    </row>
    <row r="70" spans="2:19" ht="13.5" thickBot="1" x14ac:dyDescent="0.25">
      <c r="B70" s="73">
        <f>MAX(0,B163*(MIN(B68,B69)),IF(MIN(B68,B69)&lt;B165,0,B166))</f>
        <v>0</v>
      </c>
      <c r="C70" s="96"/>
      <c r="D70" s="32" t="s">
        <v>225</v>
      </c>
      <c r="F70" s="80">
        <f>IF(OR(B78="1",B78="y",B78="Y",B78="yes",B78="YES",B78="Yes",B78="true",B78="TRUE",B78="True"),ROUND(F68-F69,0),F68-F69)</f>
        <v>0</v>
      </c>
      <c r="G70" s="31"/>
      <c r="H70" s="32" t="s">
        <v>51</v>
      </c>
      <c r="I70" s="6"/>
      <c r="J70" s="27">
        <v>0</v>
      </c>
      <c r="K70" s="24"/>
      <c r="L70" s="25" t="s">
        <v>94</v>
      </c>
      <c r="M70" s="6"/>
      <c r="N70" s="4"/>
      <c r="O70" s="6"/>
      <c r="P70" s="7"/>
      <c r="Q70" s="4"/>
      <c r="R70" s="6"/>
      <c r="S70" s="7"/>
    </row>
    <row r="71" spans="2:19" ht="13.5" thickBot="1" x14ac:dyDescent="0.25">
      <c r="B71" s="69"/>
      <c r="C71" s="70"/>
      <c r="D71" s="69"/>
      <c r="E71" s="71"/>
      <c r="F71" s="69"/>
      <c r="G71" s="70"/>
      <c r="H71" s="69"/>
      <c r="I71" s="6"/>
      <c r="J71" s="27">
        <v>0</v>
      </c>
      <c r="K71" s="24"/>
      <c r="L71" s="25" t="s">
        <v>95</v>
      </c>
      <c r="M71" s="6"/>
      <c r="N71" s="4"/>
      <c r="O71" s="6"/>
      <c r="P71" s="7"/>
      <c r="Q71" s="4"/>
      <c r="R71" s="6"/>
      <c r="S71" s="7"/>
    </row>
    <row r="72" spans="2:19" ht="13.5" thickTop="1" x14ac:dyDescent="0.2">
      <c r="I72" s="6"/>
      <c r="J72" s="27">
        <v>0</v>
      </c>
      <c r="K72" s="24"/>
      <c r="L72" s="25" t="s">
        <v>96</v>
      </c>
      <c r="M72" s="6"/>
      <c r="N72" s="4"/>
      <c r="O72" s="6"/>
      <c r="P72" s="7"/>
    </row>
    <row r="73" spans="2:19" ht="13.5" thickBot="1" x14ac:dyDescent="0.25">
      <c r="B73" s="8" t="s">
        <v>56</v>
      </c>
      <c r="C73" s="6"/>
      <c r="D73" s="7"/>
      <c r="E73" s="6"/>
      <c r="F73" s="8" t="s">
        <v>48</v>
      </c>
      <c r="G73" s="6"/>
      <c r="H73" s="7"/>
      <c r="I73" s="6"/>
      <c r="J73" s="27">
        <v>0</v>
      </c>
      <c r="K73" s="24"/>
      <c r="L73" s="25" t="s">
        <v>98</v>
      </c>
      <c r="M73" s="6"/>
      <c r="N73" s="4"/>
      <c r="O73" s="6"/>
      <c r="P73" s="7"/>
    </row>
    <row r="74" spans="2:19" x14ac:dyDescent="0.2">
      <c r="B74" s="68">
        <v>1</v>
      </c>
      <c r="C74" s="21"/>
      <c r="D74" s="22" t="s">
        <v>9</v>
      </c>
      <c r="E74" s="6"/>
      <c r="F74" s="55" t="s">
        <v>113</v>
      </c>
      <c r="G74" s="21"/>
      <c r="H74" s="22" t="s">
        <v>114</v>
      </c>
      <c r="I74" s="6"/>
      <c r="J74" s="27">
        <v>0</v>
      </c>
      <c r="K74" s="24"/>
      <c r="L74" s="25" t="s">
        <v>99</v>
      </c>
      <c r="M74" s="6"/>
      <c r="N74" s="4"/>
      <c r="O74" s="6"/>
      <c r="P74" s="7"/>
    </row>
    <row r="75" spans="2:19" x14ac:dyDescent="0.2">
      <c r="B75" s="72">
        <v>0</v>
      </c>
      <c r="C75" s="24"/>
      <c r="D75" s="25" t="s">
        <v>242</v>
      </c>
      <c r="E75" s="6"/>
      <c r="F75" s="56"/>
      <c r="G75" s="24"/>
      <c r="H75" s="25" t="s">
        <v>115</v>
      </c>
      <c r="I75" s="6"/>
      <c r="J75" s="27">
        <v>0</v>
      </c>
      <c r="K75" s="24"/>
      <c r="L75" s="25" t="s">
        <v>102</v>
      </c>
      <c r="M75" s="6"/>
      <c r="N75" s="4"/>
      <c r="O75" s="6"/>
      <c r="P75" s="7"/>
    </row>
    <row r="76" spans="2:19" x14ac:dyDescent="0.2">
      <c r="B76" s="72">
        <v>0</v>
      </c>
      <c r="C76" s="24"/>
      <c r="D76" s="25" t="s">
        <v>241</v>
      </c>
      <c r="E76" s="6"/>
      <c r="F76" s="57"/>
      <c r="G76" s="24"/>
      <c r="H76" s="25" t="s">
        <v>116</v>
      </c>
      <c r="I76" s="6"/>
      <c r="J76" s="27">
        <v>0</v>
      </c>
      <c r="K76" s="24"/>
      <c r="L76" s="25" t="s">
        <v>103</v>
      </c>
      <c r="M76" s="6"/>
      <c r="N76" s="4"/>
      <c r="O76" s="6"/>
      <c r="P76" s="7"/>
    </row>
    <row r="77" spans="2:19" x14ac:dyDescent="0.2">
      <c r="B77" s="75" t="s">
        <v>156</v>
      </c>
      <c r="C77" s="14"/>
      <c r="D77" s="25" t="s">
        <v>157</v>
      </c>
      <c r="E77" s="6"/>
      <c r="F77" s="58"/>
      <c r="G77" s="24"/>
      <c r="H77" s="25" t="s">
        <v>117</v>
      </c>
      <c r="I77" s="6"/>
      <c r="J77" s="23"/>
      <c r="K77" s="24"/>
      <c r="L77" s="29"/>
      <c r="M77" s="6"/>
      <c r="N77" s="4"/>
      <c r="O77" s="6"/>
      <c r="P77" s="7"/>
    </row>
    <row r="78" spans="2:19" ht="13.5" thickBot="1" x14ac:dyDescent="0.25">
      <c r="B78" s="75" t="s">
        <v>158</v>
      </c>
      <c r="C78" s="14"/>
      <c r="D78" s="25" t="s">
        <v>16</v>
      </c>
      <c r="E78" s="6"/>
      <c r="F78" s="59"/>
      <c r="G78" s="24"/>
      <c r="H78" s="25" t="s">
        <v>75</v>
      </c>
      <c r="I78" s="6"/>
      <c r="J78" s="49">
        <f>SUM(J65:J76)</f>
        <v>0</v>
      </c>
      <c r="K78" s="31"/>
      <c r="L78" s="32" t="s">
        <v>104</v>
      </c>
      <c r="M78" s="1"/>
      <c r="N78" s="3"/>
      <c r="O78" s="1"/>
      <c r="P78" s="2"/>
    </row>
    <row r="79" spans="2:19" x14ac:dyDescent="0.2">
      <c r="B79" s="77">
        <f>B74-1</f>
        <v>0</v>
      </c>
      <c r="C79" s="24"/>
      <c r="D79" s="25" t="s">
        <v>135</v>
      </c>
      <c r="E79" s="6"/>
      <c r="F79" s="60" t="s">
        <v>118</v>
      </c>
      <c r="G79" s="24"/>
      <c r="H79" s="25" t="s">
        <v>119</v>
      </c>
      <c r="I79" s="6"/>
      <c r="J79" s="3"/>
      <c r="K79" s="1"/>
      <c r="L79" s="2"/>
      <c r="M79" s="1"/>
      <c r="N79" s="3"/>
      <c r="O79" s="1"/>
      <c r="P79" s="2"/>
    </row>
    <row r="80" spans="2:19" x14ac:dyDescent="0.2">
      <c r="B80" s="75" t="s">
        <v>156</v>
      </c>
      <c r="C80" s="14"/>
      <c r="D80" s="25" t="s">
        <v>224</v>
      </c>
      <c r="E80" s="6"/>
      <c r="F80" s="61" t="s">
        <v>120</v>
      </c>
      <c r="G80" s="24"/>
      <c r="H80" s="25" t="s">
        <v>121</v>
      </c>
      <c r="I80" s="6"/>
      <c r="J80" s="3"/>
      <c r="K80" s="1"/>
      <c r="L80" s="2"/>
      <c r="M80" s="1"/>
      <c r="N80" s="3"/>
      <c r="O80" s="1"/>
      <c r="P80" s="2"/>
    </row>
    <row r="81" spans="2:16" x14ac:dyDescent="0.2">
      <c r="B81" s="75" t="s">
        <v>156</v>
      </c>
      <c r="C81" s="14"/>
      <c r="D81" s="90" t="s">
        <v>229</v>
      </c>
      <c r="E81" s="6"/>
      <c r="F81" s="62" t="s">
        <v>122</v>
      </c>
      <c r="G81" s="24"/>
      <c r="H81" s="25" t="s">
        <v>123</v>
      </c>
      <c r="I81" s="6"/>
      <c r="J81" s="3"/>
      <c r="K81" s="1"/>
      <c r="L81" s="2"/>
      <c r="M81" s="1"/>
      <c r="N81" s="3"/>
      <c r="O81" s="1"/>
      <c r="P81" s="2"/>
    </row>
    <row r="82" spans="2:16" x14ac:dyDescent="0.2">
      <c r="B82" s="67">
        <v>0.1</v>
      </c>
      <c r="C82" s="24"/>
      <c r="D82" s="25" t="s">
        <v>70</v>
      </c>
      <c r="E82" s="6"/>
      <c r="F82" s="63" t="s">
        <v>124</v>
      </c>
      <c r="G82" s="24"/>
      <c r="H82" s="25" t="s">
        <v>125</v>
      </c>
      <c r="I82" s="6"/>
      <c r="J82" s="3"/>
      <c r="K82" s="1"/>
      <c r="L82" s="2"/>
      <c r="M82" s="1"/>
      <c r="N82" s="3"/>
      <c r="O82" s="1"/>
      <c r="P82" s="2"/>
    </row>
    <row r="83" spans="2:16" x14ac:dyDescent="0.2">
      <c r="B83" s="23">
        <v>12400</v>
      </c>
      <c r="C83" s="24"/>
      <c r="D83" s="25" t="s">
        <v>187</v>
      </c>
      <c r="E83" s="6"/>
      <c r="F83" s="23">
        <v>0</v>
      </c>
      <c r="G83" s="24"/>
      <c r="H83" s="25" t="s">
        <v>126</v>
      </c>
      <c r="I83" s="6"/>
      <c r="J83" s="3"/>
      <c r="K83" s="1"/>
      <c r="L83" s="2"/>
      <c r="M83" s="1"/>
      <c r="N83" s="3"/>
      <c r="O83" s="1"/>
      <c r="P83" s="2"/>
    </row>
    <row r="84" spans="2:16" x14ac:dyDescent="0.2">
      <c r="B84" s="23">
        <v>1240</v>
      </c>
      <c r="C84" s="24"/>
      <c r="D84" s="25" t="s">
        <v>188</v>
      </c>
      <c r="E84" s="6"/>
      <c r="F84" s="23">
        <v>123.45</v>
      </c>
      <c r="G84" s="24"/>
      <c r="H84" s="25" t="s">
        <v>127</v>
      </c>
      <c r="I84" s="6"/>
      <c r="J84" s="3"/>
      <c r="K84" s="1"/>
      <c r="L84" s="2"/>
      <c r="M84" s="1"/>
      <c r="N84" s="3"/>
      <c r="O84" s="1"/>
      <c r="P84" s="2"/>
    </row>
    <row r="85" spans="2:16" x14ac:dyDescent="0.2">
      <c r="B85" s="67">
        <v>0.12</v>
      </c>
      <c r="C85" s="24"/>
      <c r="D85" s="25" t="s">
        <v>189</v>
      </c>
      <c r="E85" s="6"/>
      <c r="F85" s="23">
        <v>-123.45</v>
      </c>
      <c r="G85" s="24"/>
      <c r="H85" s="25" t="s">
        <v>128</v>
      </c>
      <c r="I85" s="6"/>
      <c r="J85" s="4"/>
      <c r="K85" s="6"/>
      <c r="L85" s="11"/>
      <c r="M85" s="6"/>
      <c r="N85" s="4"/>
      <c r="O85" s="6"/>
      <c r="P85" s="7"/>
    </row>
    <row r="86" spans="2:16" ht="13.5" thickBot="1" x14ac:dyDescent="0.25">
      <c r="B86" s="23">
        <v>50400</v>
      </c>
      <c r="C86" s="24"/>
      <c r="D86" s="25" t="s">
        <v>190</v>
      </c>
      <c r="E86" s="6"/>
      <c r="F86" s="64">
        <v>2.9000000000000001E-2</v>
      </c>
      <c r="G86" s="31"/>
      <c r="H86" s="32" t="s">
        <v>129</v>
      </c>
      <c r="I86" s="6"/>
      <c r="J86" s="4"/>
      <c r="K86" s="6"/>
      <c r="L86" s="7"/>
      <c r="M86" s="6"/>
      <c r="N86" s="4"/>
      <c r="O86" s="6"/>
      <c r="P86" s="7"/>
    </row>
    <row r="87" spans="2:16" x14ac:dyDescent="0.2">
      <c r="B87" s="23">
        <v>5800</v>
      </c>
      <c r="C87" s="24"/>
      <c r="D87" s="25" t="s">
        <v>191</v>
      </c>
      <c r="E87" s="6"/>
      <c r="F87"/>
      <c r="G87"/>
      <c r="H87"/>
      <c r="I87" s="6"/>
      <c r="J87" s="4"/>
      <c r="K87" s="6"/>
      <c r="L87" s="7"/>
      <c r="M87" s="6"/>
      <c r="N87" s="4"/>
      <c r="O87" s="6"/>
      <c r="P87" s="7"/>
    </row>
    <row r="88" spans="2:16" x14ac:dyDescent="0.2">
      <c r="B88" s="67">
        <v>0.22</v>
      </c>
      <c r="C88" s="24"/>
      <c r="D88" s="25" t="s">
        <v>192</v>
      </c>
      <c r="E88" s="6"/>
      <c r="F88"/>
      <c r="G88"/>
      <c r="H88"/>
      <c r="I88" s="6"/>
      <c r="J88" s="4"/>
      <c r="K88" s="6"/>
      <c r="L88" s="7"/>
      <c r="M88" s="6"/>
      <c r="N88" s="4"/>
      <c r="O88" s="6"/>
      <c r="P88" s="7"/>
    </row>
    <row r="89" spans="2:16" x14ac:dyDescent="0.2">
      <c r="B89" s="23">
        <v>105700</v>
      </c>
      <c r="C89" s="24"/>
      <c r="D89" s="25" t="s">
        <v>193</v>
      </c>
      <c r="E89" s="6"/>
      <c r="F89"/>
      <c r="G89"/>
      <c r="H89"/>
      <c r="I89" s="6"/>
      <c r="J89" s="4"/>
      <c r="K89" s="6"/>
      <c r="L89" s="7"/>
      <c r="M89" s="6"/>
      <c r="N89" s="4"/>
      <c r="O89" s="6"/>
      <c r="P89" s="7"/>
    </row>
    <row r="90" spans="2:16" x14ac:dyDescent="0.2">
      <c r="B90" s="23">
        <v>17966</v>
      </c>
      <c r="C90" s="24"/>
      <c r="D90" s="25" t="s">
        <v>194</v>
      </c>
      <c r="E90" s="6"/>
      <c r="F90"/>
      <c r="G90"/>
      <c r="H90"/>
      <c r="I90" s="6"/>
      <c r="J90" s="4"/>
      <c r="K90" s="6"/>
      <c r="L90" s="7"/>
      <c r="M90" s="6"/>
      <c r="N90" s="4"/>
      <c r="O90" s="6"/>
      <c r="P90" s="7"/>
    </row>
    <row r="91" spans="2:16" x14ac:dyDescent="0.2">
      <c r="B91" s="67">
        <v>0.24</v>
      </c>
      <c r="C91" s="24"/>
      <c r="D91" s="25" t="s">
        <v>195</v>
      </c>
      <c r="E91" s="6"/>
      <c r="F91"/>
      <c r="G91"/>
      <c r="H91"/>
      <c r="I91" s="6"/>
      <c r="J91" s="4"/>
      <c r="K91" s="6"/>
      <c r="L91" s="7"/>
      <c r="M91" s="1"/>
      <c r="N91" s="3"/>
      <c r="O91" s="1"/>
      <c r="P91" s="2"/>
    </row>
    <row r="92" spans="2:16" x14ac:dyDescent="0.2">
      <c r="B92" s="23">
        <v>201775</v>
      </c>
      <c r="C92" s="24"/>
      <c r="D92" s="25" t="s">
        <v>196</v>
      </c>
      <c r="E92" s="6"/>
      <c r="F92"/>
      <c r="G92"/>
      <c r="H92"/>
      <c r="I92" s="6"/>
      <c r="J92" s="4"/>
      <c r="K92" s="6"/>
      <c r="L92" s="7"/>
      <c r="M92" s="1"/>
      <c r="N92" s="3"/>
      <c r="O92" s="1"/>
      <c r="P92" s="2"/>
    </row>
    <row r="93" spans="2:16" x14ac:dyDescent="0.2">
      <c r="B93" s="23">
        <v>41024</v>
      </c>
      <c r="C93" s="24"/>
      <c r="D93" s="25" t="s">
        <v>197</v>
      </c>
      <c r="E93" s="6"/>
      <c r="F93"/>
      <c r="G93"/>
      <c r="H93"/>
      <c r="I93" s="6"/>
      <c r="J93" s="4"/>
      <c r="K93" s="6"/>
      <c r="L93" s="7"/>
      <c r="M93" s="1"/>
      <c r="N93" s="3"/>
      <c r="O93" s="1"/>
      <c r="P93" s="2"/>
    </row>
    <row r="94" spans="2:16" x14ac:dyDescent="0.2">
      <c r="B94" s="67">
        <v>0.32</v>
      </c>
      <c r="C94" s="24"/>
      <c r="D94" s="25" t="s">
        <v>198</v>
      </c>
      <c r="E94" s="6"/>
      <c r="F94"/>
      <c r="G94"/>
      <c r="H94"/>
      <c r="I94" s="6"/>
      <c r="J94" s="4"/>
      <c r="K94" s="6"/>
      <c r="L94" s="7"/>
      <c r="M94" s="1"/>
      <c r="N94" s="3"/>
      <c r="O94" s="1"/>
      <c r="P94" s="2"/>
    </row>
    <row r="95" spans="2:16" x14ac:dyDescent="0.2">
      <c r="B95" s="23">
        <v>256225</v>
      </c>
      <c r="C95" s="24"/>
      <c r="D95" s="25" t="s">
        <v>14</v>
      </c>
      <c r="E95" s="6"/>
      <c r="F95"/>
      <c r="G95"/>
      <c r="H95"/>
      <c r="I95" s="1"/>
      <c r="J95" s="3"/>
      <c r="K95" s="1"/>
      <c r="L95" s="2"/>
      <c r="M95" s="1"/>
      <c r="N95" s="3"/>
      <c r="O95" s="1"/>
      <c r="P95" s="2"/>
    </row>
    <row r="96" spans="2:16" x14ac:dyDescent="0.2">
      <c r="B96" s="23">
        <v>58448</v>
      </c>
      <c r="C96" s="24"/>
      <c r="D96" s="25" t="s">
        <v>68</v>
      </c>
      <c r="E96" s="6"/>
      <c r="F96"/>
      <c r="G96"/>
      <c r="H96"/>
      <c r="I96" s="1"/>
      <c r="J96" s="3"/>
      <c r="K96" s="1"/>
      <c r="L96" s="2"/>
      <c r="M96" s="1"/>
      <c r="N96" s="3"/>
      <c r="O96" s="1"/>
      <c r="P96" s="2"/>
    </row>
    <row r="97" spans="2:16" x14ac:dyDescent="0.2">
      <c r="B97" s="67">
        <v>0.35</v>
      </c>
      <c r="C97" s="24"/>
      <c r="D97" s="25" t="s">
        <v>69</v>
      </c>
      <c r="E97" s="6"/>
      <c r="F97"/>
      <c r="G97"/>
      <c r="H97"/>
      <c r="I97" s="1"/>
      <c r="J97" s="3"/>
      <c r="K97" s="1"/>
      <c r="L97" s="2"/>
      <c r="M97" s="1"/>
      <c r="N97" s="3"/>
      <c r="O97" s="1"/>
      <c r="P97" s="2"/>
    </row>
    <row r="98" spans="2:16" x14ac:dyDescent="0.2">
      <c r="B98" s="23">
        <v>640600</v>
      </c>
      <c r="C98" s="24"/>
      <c r="D98" s="25" t="s">
        <v>199</v>
      </c>
      <c r="E98" s="6"/>
      <c r="F98"/>
      <c r="G98"/>
      <c r="H98"/>
      <c r="I98" s="1"/>
      <c r="J98" s="3"/>
      <c r="K98" s="1"/>
      <c r="L98" s="2"/>
      <c r="M98" s="1"/>
      <c r="N98" s="3"/>
      <c r="O98" s="1"/>
      <c r="P98" s="2"/>
    </row>
    <row r="99" spans="2:16" x14ac:dyDescent="0.2">
      <c r="B99" s="23">
        <v>192979.25</v>
      </c>
      <c r="C99" s="24"/>
      <c r="D99" s="25" t="s">
        <v>200</v>
      </c>
      <c r="E99" s="6"/>
      <c r="F99"/>
      <c r="G99"/>
      <c r="H99"/>
      <c r="I99" s="1"/>
      <c r="J99" s="3"/>
      <c r="K99" s="1"/>
      <c r="L99" s="2"/>
      <c r="M99" s="1"/>
      <c r="N99" s="3"/>
      <c r="O99" s="1"/>
      <c r="P99" s="2"/>
    </row>
    <row r="100" spans="2:16" x14ac:dyDescent="0.2">
      <c r="B100" s="67">
        <v>0.37</v>
      </c>
      <c r="C100" s="24"/>
      <c r="D100" s="25" t="s">
        <v>201</v>
      </c>
      <c r="E100" s="6"/>
      <c r="F100"/>
      <c r="G100"/>
      <c r="H100"/>
      <c r="I100" s="1"/>
      <c r="J100" s="3"/>
      <c r="K100" s="1"/>
      <c r="L100" s="2"/>
      <c r="M100" s="1"/>
      <c r="N100" s="3"/>
      <c r="O100" s="1"/>
      <c r="P100" s="2"/>
    </row>
    <row r="101" spans="2:16" x14ac:dyDescent="0.2">
      <c r="B101" s="67">
        <v>0</v>
      </c>
      <c r="C101" s="15"/>
      <c r="D101" s="25" t="s">
        <v>8</v>
      </c>
      <c r="E101" s="6"/>
      <c r="F101" s="4"/>
      <c r="G101" s="6"/>
      <c r="H101" s="7"/>
      <c r="I101" s="1"/>
      <c r="J101" s="3"/>
      <c r="K101" s="1"/>
      <c r="L101" s="2"/>
      <c r="M101" s="1"/>
      <c r="N101" s="3"/>
      <c r="O101" s="1"/>
      <c r="P101" s="2"/>
    </row>
    <row r="102" spans="2:16" x14ac:dyDescent="0.2">
      <c r="B102" s="23">
        <v>49450</v>
      </c>
      <c r="C102" s="15"/>
      <c r="D102" s="25" t="s">
        <v>205</v>
      </c>
      <c r="E102" s="6"/>
      <c r="F102" s="4"/>
      <c r="G102" s="6"/>
      <c r="H102" s="7"/>
      <c r="I102" s="1"/>
      <c r="J102" s="3"/>
      <c r="K102" s="1"/>
      <c r="L102" s="2"/>
      <c r="M102" s="1"/>
      <c r="N102" s="3"/>
      <c r="O102" s="1"/>
      <c r="P102" s="2"/>
    </row>
    <row r="103" spans="2:16" x14ac:dyDescent="0.2">
      <c r="B103" s="67">
        <v>0.15</v>
      </c>
      <c r="C103" s="15"/>
      <c r="D103" s="25" t="s">
        <v>206</v>
      </c>
      <c r="E103" s="6"/>
      <c r="F103" s="4"/>
      <c r="G103" s="6"/>
      <c r="H103" s="7"/>
      <c r="I103" s="1"/>
      <c r="J103" s="3"/>
      <c r="K103" s="1"/>
      <c r="L103" s="2"/>
      <c r="M103" s="1"/>
      <c r="N103" s="3"/>
      <c r="O103" s="1"/>
      <c r="P103" s="2"/>
    </row>
    <row r="104" spans="2:16" x14ac:dyDescent="0.2">
      <c r="B104" s="23">
        <v>545500</v>
      </c>
      <c r="C104" s="15"/>
      <c r="D104" s="25" t="s">
        <v>207</v>
      </c>
      <c r="E104" s="6"/>
      <c r="F104" s="4"/>
      <c r="G104" s="6"/>
      <c r="H104" s="7"/>
      <c r="I104" s="1"/>
      <c r="J104" s="3"/>
      <c r="K104" s="1"/>
      <c r="L104" s="2"/>
      <c r="M104" s="1"/>
      <c r="N104" s="3"/>
      <c r="O104" s="1"/>
      <c r="P104" s="2"/>
    </row>
    <row r="105" spans="2:16" x14ac:dyDescent="0.2">
      <c r="B105" s="67">
        <v>0.2</v>
      </c>
      <c r="C105" s="15"/>
      <c r="D105" s="25" t="s">
        <v>208</v>
      </c>
      <c r="E105" s="6"/>
      <c r="F105" s="4"/>
      <c r="G105" s="6"/>
      <c r="H105" s="7"/>
      <c r="I105" s="1"/>
      <c r="J105" s="3"/>
      <c r="K105" s="1"/>
      <c r="L105" s="2"/>
      <c r="M105" s="1"/>
      <c r="N105" s="3"/>
      <c r="O105" s="1"/>
      <c r="P105" s="2"/>
    </row>
    <row r="106" spans="2:16" x14ac:dyDescent="0.2">
      <c r="B106" s="67">
        <v>0.15</v>
      </c>
      <c r="C106" s="24"/>
      <c r="D106" s="25" t="s">
        <v>209</v>
      </c>
      <c r="E106" s="1"/>
      <c r="F106" s="3"/>
      <c r="G106" s="1"/>
      <c r="H106" s="2"/>
      <c r="I106" s="1"/>
      <c r="J106" s="3"/>
      <c r="K106" s="1"/>
      <c r="L106" s="2"/>
      <c r="M106" s="1"/>
      <c r="N106" s="3"/>
      <c r="O106" s="1"/>
      <c r="P106" s="2"/>
    </row>
    <row r="107" spans="2:16" x14ac:dyDescent="0.2">
      <c r="B107" s="67">
        <v>0.15</v>
      </c>
      <c r="C107" s="24"/>
      <c r="D107" s="25" t="s">
        <v>210</v>
      </c>
      <c r="E107" s="1"/>
      <c r="F107" s="3"/>
      <c r="G107" s="1"/>
      <c r="H107" s="2"/>
    </row>
    <row r="108" spans="2:16" x14ac:dyDescent="0.2">
      <c r="B108" s="67">
        <v>0.2</v>
      </c>
      <c r="C108" s="24"/>
      <c r="D108" s="25" t="s">
        <v>211</v>
      </c>
      <c r="E108" s="1"/>
      <c r="F108" s="3"/>
      <c r="G108" s="1"/>
      <c r="H108" s="2"/>
    </row>
    <row r="109" spans="2:16" x14ac:dyDescent="0.2">
      <c r="B109" s="23">
        <v>400000</v>
      </c>
      <c r="C109" s="24"/>
      <c r="D109" s="25" t="s">
        <v>212</v>
      </c>
      <c r="E109" s="1"/>
      <c r="F109" s="3"/>
      <c r="G109" s="1"/>
      <c r="H109" s="2"/>
    </row>
    <row r="110" spans="2:16" x14ac:dyDescent="0.2">
      <c r="B110" s="67">
        <v>3.7999999999999999E-2</v>
      </c>
      <c r="C110" s="14"/>
      <c r="D110" s="25" t="s">
        <v>179</v>
      </c>
      <c r="E110" s="1"/>
      <c r="F110" s="3"/>
      <c r="G110" s="1"/>
      <c r="H110" s="2"/>
    </row>
    <row r="111" spans="2:16" x14ac:dyDescent="0.2">
      <c r="B111" s="23">
        <v>200000</v>
      </c>
      <c r="C111" s="24"/>
      <c r="D111" s="25" t="s">
        <v>84</v>
      </c>
      <c r="E111" s="1"/>
      <c r="F111" s="3"/>
      <c r="G111" s="1"/>
      <c r="H111" s="2"/>
    </row>
    <row r="112" spans="2:16" x14ac:dyDescent="0.2">
      <c r="B112" s="23">
        <v>16100</v>
      </c>
      <c r="C112" s="24"/>
      <c r="D112" s="25" t="s">
        <v>130</v>
      </c>
      <c r="E112" s="1"/>
      <c r="F112" s="3"/>
      <c r="G112" s="1"/>
      <c r="H112" s="2"/>
    </row>
    <row r="113" spans="2:8" x14ac:dyDescent="0.2">
      <c r="B113" s="23">
        <v>2050</v>
      </c>
      <c r="C113" s="24"/>
      <c r="D113" s="25" t="s">
        <v>154</v>
      </c>
      <c r="E113" s="1"/>
      <c r="F113" s="3"/>
      <c r="G113" s="1"/>
      <c r="H113" s="2"/>
    </row>
    <row r="114" spans="2:8" x14ac:dyDescent="0.2">
      <c r="B114" s="23">
        <f>0*4050</f>
        <v>0</v>
      </c>
      <c r="C114" s="24"/>
      <c r="D114" s="25" t="s">
        <v>131</v>
      </c>
      <c r="E114" s="1"/>
      <c r="F114" s="3"/>
      <c r="G114" s="1"/>
      <c r="H114" s="2"/>
    </row>
    <row r="115" spans="2:8" x14ac:dyDescent="0.2">
      <c r="B115" s="23">
        <v>2500</v>
      </c>
      <c r="C115" s="24"/>
      <c r="D115" s="25" t="s">
        <v>132</v>
      </c>
      <c r="E115" s="1"/>
      <c r="F115" s="3"/>
      <c r="G115" s="1"/>
      <c r="H115" s="2"/>
    </row>
    <row r="116" spans="2:8" x14ac:dyDescent="0.2">
      <c r="B116" s="23">
        <v>266700</v>
      </c>
      <c r="C116" s="24"/>
      <c r="D116" s="25" t="s">
        <v>10</v>
      </c>
      <c r="E116" s="1"/>
      <c r="F116" s="3"/>
      <c r="G116" s="1"/>
      <c r="H116" s="2"/>
    </row>
    <row r="117" spans="2:8" x14ac:dyDescent="0.2">
      <c r="B117" s="67">
        <f>2%</f>
        <v>0.02</v>
      </c>
      <c r="C117" s="24"/>
      <c r="D117" s="25" t="s">
        <v>11</v>
      </c>
      <c r="E117" s="1"/>
      <c r="F117" s="3"/>
      <c r="G117" s="1"/>
      <c r="H117" s="2"/>
    </row>
    <row r="118" spans="2:8" x14ac:dyDescent="0.2">
      <c r="B118" s="23">
        <v>2200</v>
      </c>
      <c r="C118" s="24"/>
      <c r="D118" s="25" t="s">
        <v>107</v>
      </c>
    </row>
    <row r="119" spans="2:8" x14ac:dyDescent="0.2">
      <c r="B119" s="23">
        <v>200000</v>
      </c>
      <c r="C119" s="24"/>
      <c r="D119" s="25" t="s">
        <v>108</v>
      </c>
    </row>
    <row r="120" spans="2:8" x14ac:dyDescent="0.2">
      <c r="B120" s="23">
        <v>1000</v>
      </c>
      <c r="C120" s="24"/>
      <c r="D120" s="25" t="s">
        <v>109</v>
      </c>
    </row>
    <row r="121" spans="2:8" x14ac:dyDescent="0.2">
      <c r="B121" s="67">
        <v>0.05</v>
      </c>
      <c r="C121" s="24"/>
      <c r="D121" s="25" t="s">
        <v>110</v>
      </c>
    </row>
    <row r="122" spans="2:8" x14ac:dyDescent="0.2">
      <c r="B122" s="23">
        <v>266700</v>
      </c>
      <c r="C122" s="14"/>
      <c r="D122" s="25" t="s">
        <v>178</v>
      </c>
    </row>
    <row r="123" spans="2:8" x14ac:dyDescent="0.2">
      <c r="B123" s="67">
        <f>0*3%</f>
        <v>0</v>
      </c>
      <c r="C123" s="24"/>
      <c r="D123" s="25" t="s">
        <v>12</v>
      </c>
    </row>
    <row r="124" spans="2:8" x14ac:dyDescent="0.2">
      <c r="B124" s="67">
        <f>80%</f>
        <v>0.8</v>
      </c>
      <c r="C124" s="24"/>
      <c r="D124" s="25" t="s">
        <v>12</v>
      </c>
    </row>
    <row r="125" spans="2:8" x14ac:dyDescent="0.2">
      <c r="B125" s="23">
        <f>1000*0</f>
        <v>0</v>
      </c>
      <c r="C125" s="24"/>
      <c r="D125" s="25" t="s">
        <v>239</v>
      </c>
    </row>
    <row r="126" spans="2:8" x14ac:dyDescent="0.2">
      <c r="B126" s="67">
        <v>2.9000000000000001E-2</v>
      </c>
      <c r="C126" s="24"/>
      <c r="D126" s="25" t="s">
        <v>13</v>
      </c>
    </row>
    <row r="127" spans="2:8" x14ac:dyDescent="0.2">
      <c r="B127" s="67">
        <v>0.92349999999999999</v>
      </c>
      <c r="C127" s="24"/>
      <c r="D127" s="25" t="s">
        <v>18</v>
      </c>
    </row>
    <row r="128" spans="2:8" x14ac:dyDescent="0.2">
      <c r="B128" s="23">
        <v>0</v>
      </c>
      <c r="C128" s="24"/>
      <c r="D128" s="25" t="s">
        <v>19</v>
      </c>
    </row>
    <row r="129" spans="2:4" x14ac:dyDescent="0.2">
      <c r="B129" s="67">
        <f>B126/2</f>
        <v>1.4500000000000001E-2</v>
      </c>
      <c r="C129" s="14"/>
      <c r="D129" s="25" t="s">
        <v>57</v>
      </c>
    </row>
    <row r="130" spans="2:4" x14ac:dyDescent="0.2">
      <c r="B130" s="67">
        <v>8.9999999999999993E-3</v>
      </c>
      <c r="C130" s="14"/>
      <c r="D130" s="25" t="s">
        <v>85</v>
      </c>
    </row>
    <row r="131" spans="2:4" x14ac:dyDescent="0.2">
      <c r="B131" s="67">
        <v>0.124</v>
      </c>
      <c r="C131" s="24"/>
      <c r="D131" s="25" t="s">
        <v>134</v>
      </c>
    </row>
    <row r="132" spans="2:4" x14ac:dyDescent="0.2">
      <c r="B132" s="23">
        <f>B133*B131</f>
        <v>22878</v>
      </c>
      <c r="C132" s="24"/>
      <c r="D132" s="25" t="s">
        <v>20</v>
      </c>
    </row>
    <row r="133" spans="2:4" x14ac:dyDescent="0.2">
      <c r="B133" s="23">
        <v>184500</v>
      </c>
      <c r="C133" s="24"/>
      <c r="D133" s="25" t="s">
        <v>21</v>
      </c>
    </row>
    <row r="134" spans="2:4" x14ac:dyDescent="0.2">
      <c r="B134" s="23">
        <v>400</v>
      </c>
      <c r="C134" s="24"/>
      <c r="D134" s="25" t="s">
        <v>22</v>
      </c>
    </row>
    <row r="135" spans="2:4" x14ac:dyDescent="0.2">
      <c r="B135" s="67">
        <f>B131/2</f>
        <v>6.2E-2</v>
      </c>
      <c r="C135" s="14"/>
      <c r="D135" s="25" t="s">
        <v>133</v>
      </c>
    </row>
    <row r="136" spans="2:4" x14ac:dyDescent="0.2">
      <c r="B136" s="67">
        <v>1</v>
      </c>
      <c r="C136" s="24"/>
      <c r="D136" s="25" t="s">
        <v>23</v>
      </c>
    </row>
    <row r="137" spans="2:4" x14ac:dyDescent="0.2">
      <c r="B137" s="23">
        <v>3000</v>
      </c>
      <c r="C137" s="24"/>
      <c r="D137" s="25" t="s">
        <v>5</v>
      </c>
    </row>
    <row r="138" spans="2:4" x14ac:dyDescent="0.2">
      <c r="B138" s="67">
        <v>7.4999999999999997E-2</v>
      </c>
      <c r="C138" s="14"/>
      <c r="D138" s="25" t="s">
        <v>150</v>
      </c>
    </row>
    <row r="139" spans="2:4" x14ac:dyDescent="0.2">
      <c r="B139" s="67">
        <v>7.4999999999999997E-2</v>
      </c>
      <c r="C139" s="14"/>
      <c r="D139" s="25" t="s">
        <v>180</v>
      </c>
    </row>
    <row r="140" spans="2:4" x14ac:dyDescent="0.2">
      <c r="B140" s="23">
        <v>6000</v>
      </c>
      <c r="D140" s="25" t="s">
        <v>243</v>
      </c>
    </row>
    <row r="141" spans="2:4" x14ac:dyDescent="0.2">
      <c r="B141" s="67">
        <v>0.06</v>
      </c>
      <c r="D141" s="25" t="s">
        <v>244</v>
      </c>
    </row>
    <row r="142" spans="2:4" x14ac:dyDescent="0.2">
      <c r="B142" s="23">
        <v>75000</v>
      </c>
      <c r="D142" s="25" t="s">
        <v>245</v>
      </c>
    </row>
    <row r="143" spans="2:4" x14ac:dyDescent="0.2">
      <c r="B143" s="67">
        <v>0.02</v>
      </c>
      <c r="C143" s="14"/>
      <c r="D143" s="25" t="s">
        <v>151</v>
      </c>
    </row>
    <row r="144" spans="2:4" x14ac:dyDescent="0.2">
      <c r="B144" s="67">
        <v>0.6</v>
      </c>
      <c r="C144" s="14"/>
      <c r="D144" s="25" t="s">
        <v>163</v>
      </c>
    </row>
    <row r="145" spans="2:4" x14ac:dyDescent="0.2">
      <c r="B145" s="67">
        <v>5.0000000000000001E-3</v>
      </c>
      <c r="C145"/>
      <c r="D145" s="25" t="s">
        <v>254</v>
      </c>
    </row>
    <row r="146" spans="2:4" x14ac:dyDescent="0.2">
      <c r="B146" s="97">
        <f>2/37</f>
        <v>5.4054054054054057E-2</v>
      </c>
      <c r="C146"/>
      <c r="D146" s="25" t="s">
        <v>256</v>
      </c>
    </row>
    <row r="147" spans="2:4" x14ac:dyDescent="0.2">
      <c r="B147" s="23">
        <v>1000</v>
      </c>
      <c r="D147" s="25" t="s">
        <v>255</v>
      </c>
    </row>
    <row r="148" spans="2:4" x14ac:dyDescent="0.2">
      <c r="B148" s="23">
        <v>40400</v>
      </c>
      <c r="C148" s="15"/>
      <c r="D148" s="25" t="s">
        <v>202</v>
      </c>
    </row>
    <row r="149" spans="2:4" x14ac:dyDescent="0.2">
      <c r="B149" s="23">
        <v>10000</v>
      </c>
      <c r="C149" s="15"/>
      <c r="D149" s="25" t="s">
        <v>248</v>
      </c>
    </row>
    <row r="150" spans="2:4" x14ac:dyDescent="0.2">
      <c r="B150" s="67">
        <v>0.3</v>
      </c>
      <c r="C150" s="14"/>
      <c r="D150" s="25" t="s">
        <v>247</v>
      </c>
    </row>
    <row r="151" spans="2:4" x14ac:dyDescent="0.2">
      <c r="B151" s="23">
        <v>505000</v>
      </c>
      <c r="C151" s="15"/>
      <c r="D151" s="25" t="s">
        <v>246</v>
      </c>
    </row>
    <row r="152" spans="2:4" x14ac:dyDescent="0.2">
      <c r="B152" s="23">
        <v>90100</v>
      </c>
      <c r="C152" s="14"/>
      <c r="D152" s="25" t="s">
        <v>61</v>
      </c>
    </row>
    <row r="153" spans="2:4" x14ac:dyDescent="0.2">
      <c r="B153" s="23">
        <v>500000</v>
      </c>
      <c r="C153" s="14"/>
      <c r="D153" s="25" t="s">
        <v>153</v>
      </c>
    </row>
    <row r="154" spans="2:4" x14ac:dyDescent="0.2">
      <c r="B154" s="67">
        <v>0.25</v>
      </c>
      <c r="C154" s="14"/>
      <c r="D154" s="25" t="s">
        <v>169</v>
      </c>
    </row>
    <row r="155" spans="2:4" x14ac:dyDescent="0.2">
      <c r="B155" s="67">
        <v>0.26</v>
      </c>
      <c r="C155" s="14"/>
      <c r="D155" s="25" t="s">
        <v>65</v>
      </c>
    </row>
    <row r="156" spans="2:4" x14ac:dyDescent="0.2">
      <c r="B156" s="67">
        <v>0.28000000000000003</v>
      </c>
      <c r="C156" s="14"/>
      <c r="D156" s="25" t="s">
        <v>64</v>
      </c>
    </row>
    <row r="157" spans="2:4" x14ac:dyDescent="0.2">
      <c r="B157" s="23">
        <v>244500</v>
      </c>
      <c r="C157" s="14"/>
      <c r="D157" s="25" t="s">
        <v>66</v>
      </c>
    </row>
    <row r="158" spans="2:4" x14ac:dyDescent="0.2">
      <c r="B158" s="23">
        <f>B157*(B156-B155)</f>
        <v>4890.0000000000045</v>
      </c>
      <c r="C158" s="14"/>
      <c r="D158" s="25" t="s">
        <v>67</v>
      </c>
    </row>
    <row r="159" spans="2:4" x14ac:dyDescent="0.2">
      <c r="B159" s="67">
        <v>2.5000000000000001E-2</v>
      </c>
      <c r="C159" s="14"/>
      <c r="D159" s="25" t="s">
        <v>167</v>
      </c>
    </row>
    <row r="160" spans="2:4" x14ac:dyDescent="0.2">
      <c r="B160" s="23">
        <v>0</v>
      </c>
      <c r="C160" s="14"/>
      <c r="D160" s="25" t="s">
        <v>155</v>
      </c>
    </row>
    <row r="161" spans="2:4" x14ac:dyDescent="0.2">
      <c r="B161" s="23">
        <v>201750</v>
      </c>
      <c r="C161" s="24"/>
      <c r="D161" s="90" t="s">
        <v>230</v>
      </c>
    </row>
    <row r="162" spans="2:4" x14ac:dyDescent="0.2">
      <c r="B162" s="23">
        <v>75000</v>
      </c>
      <c r="C162" s="24"/>
      <c r="D162" s="90" t="s">
        <v>231</v>
      </c>
    </row>
    <row r="163" spans="2:4" x14ac:dyDescent="0.2">
      <c r="B163" s="67">
        <v>0.2</v>
      </c>
      <c r="C163" s="24"/>
      <c r="D163" s="90" t="s">
        <v>232</v>
      </c>
    </row>
    <row r="164" spans="2:4" x14ac:dyDescent="0.2">
      <c r="B164" s="67">
        <v>1</v>
      </c>
      <c r="C164" s="9"/>
      <c r="D164" s="25" t="s">
        <v>233</v>
      </c>
    </row>
    <row r="165" spans="2:4" x14ac:dyDescent="0.2">
      <c r="B165" s="23">
        <v>1000</v>
      </c>
      <c r="C165"/>
      <c r="D165" s="25" t="s">
        <v>257</v>
      </c>
    </row>
    <row r="166" spans="2:4" ht="13.5" thickBot="1" x14ac:dyDescent="0.25">
      <c r="B166" s="73">
        <v>400</v>
      </c>
      <c r="C166" s="98"/>
      <c r="D166" s="32" t="s">
        <v>258</v>
      </c>
    </row>
    <row r="168" spans="2:4" ht="13.5" thickBot="1" x14ac:dyDescent="0.25">
      <c r="B168" s="78" t="s">
        <v>182</v>
      </c>
      <c r="C168" s="15"/>
    </row>
    <row r="169" spans="2:4" x14ac:dyDescent="0.2">
      <c r="B169" s="84">
        <v>0</v>
      </c>
      <c r="C169" s="85">
        <f>B82</f>
        <v>0.1</v>
      </c>
    </row>
    <row r="170" spans="2:4" x14ac:dyDescent="0.2">
      <c r="B170" s="23">
        <f>B83</f>
        <v>12400</v>
      </c>
      <c r="C170" s="86">
        <f>B85</f>
        <v>0.12</v>
      </c>
    </row>
    <row r="171" spans="2:4" x14ac:dyDescent="0.2">
      <c r="B171" s="23">
        <f>B86</f>
        <v>50400</v>
      </c>
      <c r="C171" s="86">
        <f>B88</f>
        <v>0.22</v>
      </c>
    </row>
    <row r="172" spans="2:4" x14ac:dyDescent="0.2">
      <c r="B172" s="23">
        <f>B89</f>
        <v>105700</v>
      </c>
      <c r="C172" s="86">
        <f>B91</f>
        <v>0.24</v>
      </c>
    </row>
    <row r="173" spans="2:4" x14ac:dyDescent="0.2">
      <c r="B173" s="23">
        <f>B92</f>
        <v>201775</v>
      </c>
      <c r="C173" s="86">
        <f>B94</f>
        <v>0.32</v>
      </c>
    </row>
    <row r="174" spans="2:4" x14ac:dyDescent="0.2">
      <c r="B174" s="23">
        <f>B95</f>
        <v>256225</v>
      </c>
      <c r="C174" s="86">
        <f>B97</f>
        <v>0.35</v>
      </c>
    </row>
    <row r="175" spans="2:4" ht="13.5" thickBot="1" x14ac:dyDescent="0.25">
      <c r="B175" s="73">
        <f>B98</f>
        <v>640600</v>
      </c>
      <c r="C175" s="87">
        <f>B100</f>
        <v>0.37</v>
      </c>
    </row>
  </sheetData>
  <sheetProtection algorithmName="SHA-512" hashValue="kU91xhskgS9YRG3kmOq3gu8REu8DqLUvvJs04H+lTSTwRX0PezXcDcKA/s1UCvDf+8pJSDnRGB7feiHqxmwLzA==" saltValue="jK8P10JzIlWtI2PUpsGwgw==" spinCount="100000" sheet="1"/>
  <phoneticPr fontId="0" type="noConversion"/>
  <pageMargins left="0.75" right="0.75" top="1" bottom="1" header="0.5" footer="0.5"/>
  <pageSetup orientation="portrait" blackAndWhite="1" horizontalDpi="360" verticalDpi="360" r:id="rId1"/>
  <headerFooter alignWithMargins="0">
    <oddHeader>Federal Tax Planner</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8F60CE-E457-44A8-8A01-091AF3F709D8}">
  <dimension ref="A1:Y175"/>
  <sheetViews>
    <sheetView showGridLines="0" workbookViewId="0">
      <selection activeCell="B24" sqref="B24"/>
    </sheetView>
  </sheetViews>
  <sheetFormatPr defaultColWidth="8.85546875" defaultRowHeight="12.75" x14ac:dyDescent="0.2"/>
  <cols>
    <col min="1" max="1" width="9.140625" style="3" customWidth="1"/>
    <col min="2" max="2" width="15.7109375" style="1" customWidth="1"/>
    <col min="3" max="3" width="2.42578125" style="2" customWidth="1"/>
    <col min="4" max="4" width="26.42578125" style="1" customWidth="1"/>
    <col min="5" max="5" width="9.140625" style="3" customWidth="1"/>
    <col min="6" max="6" width="15.7109375" style="1" customWidth="1"/>
    <col min="7" max="7" width="2.42578125" style="2" customWidth="1"/>
    <col min="8" max="8" width="27.140625" style="1" customWidth="1"/>
    <col min="9" max="9" width="9.140625" style="3" customWidth="1"/>
    <col min="10" max="10" width="15.7109375" style="1" customWidth="1"/>
    <col min="11" max="11" width="2.42578125" style="2" customWidth="1"/>
    <col min="12" max="12" width="21.7109375" style="1" customWidth="1"/>
    <col min="13" max="13" width="9.140625" style="3" customWidth="1"/>
    <col min="14" max="14" width="15.7109375" style="1" customWidth="1"/>
    <col min="15" max="15" width="2.42578125" style="2" customWidth="1"/>
    <col min="16" max="16" width="25.28515625" style="1" customWidth="1"/>
    <col min="17" max="17" width="9.140625" style="3" customWidth="1"/>
    <col min="18" max="18" width="9.140625" style="1" customWidth="1"/>
    <col min="19" max="19" width="9.140625" style="2" customWidth="1"/>
  </cols>
  <sheetData>
    <row r="1" spans="1:4" ht="15.75" x14ac:dyDescent="0.25">
      <c r="A1" s="13"/>
      <c r="B1" s="14"/>
      <c r="C1" s="15"/>
      <c r="D1" s="16" t="s">
        <v>79</v>
      </c>
    </row>
    <row r="2" spans="1:4" x14ac:dyDescent="0.2">
      <c r="A2" s="13"/>
      <c r="B2" s="14"/>
      <c r="C2" s="15"/>
      <c r="D2" s="14"/>
    </row>
    <row r="3" spans="1:4" ht="14.25" x14ac:dyDescent="0.2">
      <c r="A3" s="13"/>
      <c r="B3" s="14"/>
      <c r="C3" s="15"/>
      <c r="D3" s="17" t="s">
        <v>251</v>
      </c>
    </row>
    <row r="4" spans="1:4" x14ac:dyDescent="0.2">
      <c r="A4" s="13"/>
      <c r="B4" s="14"/>
      <c r="C4" s="15"/>
      <c r="D4" s="14"/>
    </row>
    <row r="5" spans="1:4" x14ac:dyDescent="0.2">
      <c r="A5" s="18" t="s">
        <v>78</v>
      </c>
      <c r="B5" s="14"/>
      <c r="C5" s="15"/>
      <c r="D5" s="14"/>
    </row>
    <row r="6" spans="1:4" x14ac:dyDescent="0.2">
      <c r="A6" s="19"/>
      <c r="B6" s="14"/>
      <c r="C6" s="15"/>
      <c r="D6" s="14"/>
    </row>
    <row r="7" spans="1:4" x14ac:dyDescent="0.2">
      <c r="A7" s="19" t="s">
        <v>214</v>
      </c>
      <c r="B7" s="14"/>
      <c r="C7" s="15"/>
      <c r="D7" s="14"/>
    </row>
    <row r="8" spans="1:4" x14ac:dyDescent="0.2">
      <c r="A8" s="19" t="s">
        <v>215</v>
      </c>
      <c r="B8" s="14"/>
      <c r="C8" s="15"/>
      <c r="D8" s="14"/>
    </row>
    <row r="9" spans="1:4" x14ac:dyDescent="0.2">
      <c r="A9" s="19" t="s">
        <v>161</v>
      </c>
      <c r="B9" s="14"/>
      <c r="C9" s="15"/>
      <c r="D9" s="14"/>
    </row>
    <row r="10" spans="1:4" x14ac:dyDescent="0.2">
      <c r="A10" s="19" t="s">
        <v>80</v>
      </c>
      <c r="B10" s="14"/>
      <c r="C10" s="15"/>
      <c r="D10" s="14"/>
    </row>
    <row r="11" spans="1:4" x14ac:dyDescent="0.2">
      <c r="A11" s="19" t="s">
        <v>220</v>
      </c>
      <c r="B11" s="14"/>
      <c r="C11" s="15"/>
      <c r="D11" s="14"/>
    </row>
    <row r="12" spans="1:4" x14ac:dyDescent="0.2">
      <c r="A12" s="19" t="s">
        <v>219</v>
      </c>
      <c r="B12" s="14"/>
      <c r="C12" s="15"/>
      <c r="D12" s="14"/>
    </row>
    <row r="13" spans="1:4" x14ac:dyDescent="0.2">
      <c r="A13" s="19" t="s">
        <v>216</v>
      </c>
      <c r="B13" s="14"/>
      <c r="C13" s="15"/>
      <c r="D13" s="14"/>
    </row>
    <row r="14" spans="1:4" x14ac:dyDescent="0.2">
      <c r="A14" s="19" t="s">
        <v>217</v>
      </c>
      <c r="B14" s="14"/>
      <c r="C14" s="15"/>
      <c r="D14" s="14"/>
    </row>
    <row r="15" spans="1:4" x14ac:dyDescent="0.2">
      <c r="A15" s="19" t="s">
        <v>162</v>
      </c>
      <c r="B15" s="14"/>
      <c r="C15" s="15"/>
      <c r="D15" s="14"/>
    </row>
    <row r="16" spans="1:4" x14ac:dyDescent="0.2">
      <c r="A16" s="19" t="s">
        <v>137</v>
      </c>
      <c r="B16" s="14"/>
      <c r="C16" s="15"/>
      <c r="D16" s="14"/>
    </row>
    <row r="17" spans="1:24" x14ac:dyDescent="0.2">
      <c r="A17" s="19" t="s">
        <v>138</v>
      </c>
      <c r="B17" s="14"/>
      <c r="C17" s="15"/>
      <c r="D17" s="14"/>
    </row>
    <row r="20" spans="1:24" ht="13.5" thickBot="1" x14ac:dyDescent="0.25">
      <c r="B20" s="5" t="s">
        <v>140</v>
      </c>
      <c r="C20" s="6"/>
      <c r="D20" s="7"/>
      <c r="E20" s="6"/>
      <c r="F20" s="8" t="s">
        <v>141</v>
      </c>
      <c r="G20" s="6"/>
      <c r="H20" s="7"/>
      <c r="I20" s="6"/>
      <c r="J20" s="8" t="s">
        <v>33</v>
      </c>
      <c r="K20" s="6"/>
      <c r="L20" s="7"/>
      <c r="M20"/>
      <c r="N20" s="12" t="s">
        <v>7</v>
      </c>
      <c r="O20" s="9"/>
      <c r="P20" s="9"/>
    </row>
    <row r="21" spans="1:24" x14ac:dyDescent="0.2">
      <c r="B21" s="20">
        <f>J46</f>
        <v>0</v>
      </c>
      <c r="C21" s="21"/>
      <c r="D21" s="22" t="s">
        <v>172</v>
      </c>
      <c r="E21" s="6"/>
      <c r="F21" s="33">
        <v>0</v>
      </c>
      <c r="G21" s="21"/>
      <c r="H21" s="22" t="s">
        <v>86</v>
      </c>
      <c r="I21" s="6"/>
      <c r="J21" s="39">
        <f>F62</f>
        <v>0</v>
      </c>
      <c r="K21" s="21"/>
      <c r="L21" s="22" t="s">
        <v>35</v>
      </c>
      <c r="M21"/>
      <c r="N21" s="42">
        <f>F35+MIN(B51*B159,MAX(0,F31-B57))+MAX(0,F32-B58)-B33</f>
        <v>0</v>
      </c>
      <c r="O21" s="43"/>
      <c r="P21" s="44" t="s">
        <v>59</v>
      </c>
    </row>
    <row r="22" spans="1:24" x14ac:dyDescent="0.2">
      <c r="B22" s="23">
        <f>N46</f>
        <v>0</v>
      </c>
      <c r="C22" s="24"/>
      <c r="D22" s="25" t="s">
        <v>88</v>
      </c>
      <c r="E22" s="6"/>
      <c r="F22" s="27">
        <v>0</v>
      </c>
      <c r="G22" s="24"/>
      <c r="H22" s="25" t="s">
        <v>221</v>
      </c>
      <c r="I22" s="6"/>
      <c r="J22" s="40">
        <f>SUM(F51:F53)</f>
        <v>0</v>
      </c>
      <c r="K22" s="14"/>
      <c r="L22" s="25" t="s">
        <v>54</v>
      </c>
      <c r="M22" s="1"/>
      <c r="N22" s="27">
        <v>0</v>
      </c>
      <c r="O22" s="14"/>
      <c r="P22" s="25" t="s">
        <v>170</v>
      </c>
    </row>
    <row r="23" spans="1:24" x14ac:dyDescent="0.2">
      <c r="B23" s="23">
        <f>J62</f>
        <v>0</v>
      </c>
      <c r="C23" s="24"/>
      <c r="D23" s="25" t="s">
        <v>0</v>
      </c>
      <c r="E23" s="6"/>
      <c r="F23" s="27">
        <v>0</v>
      </c>
      <c r="G23" s="24"/>
      <c r="H23" s="25" t="s">
        <v>71</v>
      </c>
      <c r="I23" s="6"/>
      <c r="J23" s="40">
        <f>F59</f>
        <v>0</v>
      </c>
      <c r="K23" s="24"/>
      <c r="L23" s="25" t="s">
        <v>41</v>
      </c>
      <c r="M23" s="1"/>
      <c r="N23" s="27">
        <v>0</v>
      </c>
      <c r="O23" s="14"/>
      <c r="P23" s="25" t="s">
        <v>159</v>
      </c>
    </row>
    <row r="24" spans="1:24" x14ac:dyDescent="0.2">
      <c r="B24" s="26">
        <v>0</v>
      </c>
      <c r="C24" s="24"/>
      <c r="D24" s="25" t="s">
        <v>173</v>
      </c>
      <c r="E24" s="6"/>
      <c r="F24" s="27">
        <v>0</v>
      </c>
      <c r="G24" s="24"/>
      <c r="H24" s="25" t="s">
        <v>72</v>
      </c>
      <c r="I24" s="6"/>
      <c r="J24" s="40">
        <f>F54-F55</f>
        <v>0</v>
      </c>
      <c r="K24" s="24"/>
      <c r="L24" s="25" t="s">
        <v>38</v>
      </c>
      <c r="M24" s="1"/>
      <c r="N24" s="23">
        <f>MAX(0,B51-MAX(B33,(F36-F37)-N21)+N22-F44-B70-IF(N23=0,0,SUM(B54:B55)-N23))</f>
        <v>0</v>
      </c>
      <c r="O24" s="34"/>
      <c r="P24" s="35" t="s">
        <v>63</v>
      </c>
    </row>
    <row r="25" spans="1:24" x14ac:dyDescent="0.2">
      <c r="B25" s="27">
        <v>0</v>
      </c>
      <c r="C25" s="24"/>
      <c r="D25" s="25" t="s">
        <v>174</v>
      </c>
      <c r="E25" s="6"/>
      <c r="F25" s="27">
        <v>0</v>
      </c>
      <c r="G25" s="24"/>
      <c r="H25" s="25" t="s">
        <v>91</v>
      </c>
      <c r="I25" s="6"/>
      <c r="J25" s="40">
        <f>F68</f>
        <v>0</v>
      </c>
      <c r="K25" s="24"/>
      <c r="L25" s="25" t="s">
        <v>43</v>
      </c>
      <c r="M25" s="1"/>
      <c r="N25" s="23">
        <f>IF(N24&lt;=B153,B152,MAX(0,B152-((N24-B153)*B154)))</f>
        <v>140200</v>
      </c>
      <c r="O25" s="34"/>
      <c r="P25" s="35" t="s">
        <v>60</v>
      </c>
    </row>
    <row r="26" spans="1:24" x14ac:dyDescent="0.2">
      <c r="B26" s="27">
        <v>0</v>
      </c>
      <c r="C26" s="24"/>
      <c r="D26" s="25" t="s">
        <v>176</v>
      </c>
      <c r="E26" s="6"/>
      <c r="F26" s="27">
        <v>0</v>
      </c>
      <c r="G26" s="24"/>
      <c r="H26" s="25" t="s">
        <v>77</v>
      </c>
      <c r="I26" s="6"/>
      <c r="J26" s="41">
        <f>J78</f>
        <v>0</v>
      </c>
      <c r="K26" s="24"/>
      <c r="L26" s="25" t="s">
        <v>46</v>
      </c>
      <c r="M26" s="1"/>
      <c r="N26" s="23">
        <f>MAX(0,N24-N25)+IF(OR(B160=0,B160&gt;(N24-N25)),0,MIN(B152,B154*(N24-N25-B160)))</f>
        <v>0</v>
      </c>
      <c r="O26" s="34"/>
      <c r="P26" s="35" t="s">
        <v>62</v>
      </c>
    </row>
    <row r="27" spans="1:24" x14ac:dyDescent="0.2">
      <c r="B27" s="26">
        <v>0</v>
      </c>
      <c r="C27" s="24"/>
      <c r="D27" s="25" t="s">
        <v>175</v>
      </c>
      <c r="E27" s="6"/>
      <c r="F27" s="27">
        <v>0</v>
      </c>
      <c r="G27" s="24"/>
      <c r="H27" s="25" t="s">
        <v>2</v>
      </c>
      <c r="I27" s="6"/>
      <c r="J27" s="81">
        <f>F70</f>
        <v>0</v>
      </c>
      <c r="K27" s="24"/>
      <c r="L27" s="25" t="s">
        <v>52</v>
      </c>
      <c r="M27" s="1"/>
      <c r="N27" s="23">
        <f>MAX(0,B106*MIN(N26,IF(N23&gt;0,N23,B54))+IF(N23=0,N23,B55)*B107+IF(N26-IF(N23&gt;0,N23,B54-B55)&gt;B157,B156*MAX(0,N26-IF(N23&gt;0,N23,B54-B55))-B158,B155*MAX(0,N26-IF(N23&gt;0,N23,B54-B55))))+IF(N26&gt;B109,((B108-B106)*MIN(B54,N26-B109)),0)</f>
        <v>0</v>
      </c>
      <c r="O27" s="24"/>
      <c r="P27" s="25" t="s">
        <v>164</v>
      </c>
    </row>
    <row r="28" spans="1:24" x14ac:dyDescent="0.2">
      <c r="B28" s="27">
        <v>0</v>
      </c>
      <c r="C28" s="24"/>
      <c r="D28" s="25" t="s">
        <v>185</v>
      </c>
      <c r="E28" s="6"/>
      <c r="F28" s="27">
        <v>0</v>
      </c>
      <c r="G28" s="24"/>
      <c r="H28" s="25" t="s">
        <v>3</v>
      </c>
      <c r="I28" s="6"/>
      <c r="J28" s="82">
        <f>IF(F46=0,0,F62/F46)</f>
        <v>0</v>
      </c>
      <c r="K28" s="15"/>
      <c r="L28" s="25" t="s">
        <v>183</v>
      </c>
      <c r="M28" s="1"/>
      <c r="N28" s="27">
        <v>0</v>
      </c>
      <c r="O28" s="14"/>
      <c r="P28" s="25" t="s">
        <v>76</v>
      </c>
    </row>
    <row r="29" spans="1:24" ht="13.5" thickBot="1" x14ac:dyDescent="0.25">
      <c r="B29" s="26">
        <v>0</v>
      </c>
      <c r="C29" s="24"/>
      <c r="D29" s="25" t="s">
        <v>160</v>
      </c>
      <c r="E29" s="6"/>
      <c r="F29" s="26">
        <v>0</v>
      </c>
      <c r="G29" s="24"/>
      <c r="H29" s="25" t="s">
        <v>177</v>
      </c>
      <c r="I29" s="6"/>
      <c r="J29" s="89">
        <f>VLOOKUP(F46,B169:C175,2)</f>
        <v>0.1</v>
      </c>
      <c r="K29" s="15"/>
      <c r="L29" s="25" t="s">
        <v>184</v>
      </c>
      <c r="N29" s="45">
        <f>IF(OR(B78="1",B78="y",B78="Y",B78="yes",B78="YES",B78="Yes",B78="true",B78="TRUE",B78="True"),ROUND(MAX(0,N27-N28-F49),0),MAX(0,N27-N28-F49))</f>
        <v>0</v>
      </c>
      <c r="O29" s="31"/>
      <c r="P29" s="32" t="s">
        <v>166</v>
      </c>
    </row>
    <row r="30" spans="1:24" ht="13.5" thickBot="1" x14ac:dyDescent="0.25">
      <c r="B30" s="26">
        <v>0</v>
      </c>
      <c r="C30" s="24"/>
      <c r="D30" s="25" t="s">
        <v>223</v>
      </c>
      <c r="E30" s="6"/>
      <c r="F30" s="27">
        <v>0</v>
      </c>
      <c r="G30" s="24"/>
      <c r="H30" s="25" t="s">
        <v>148</v>
      </c>
      <c r="I30" s="6"/>
      <c r="J30" s="83">
        <f>IF(F46&lt;=B102,B101,IF(AND(F46&lt;=B104,F46-SUM(B54:B55)&lt;=B102),B103,IF(F46&lt;=B104,B103,B105)))</f>
        <v>0</v>
      </c>
      <c r="K30" s="79"/>
      <c r="L30" s="32" t="s">
        <v>218</v>
      </c>
    </row>
    <row r="31" spans="1:24" x14ac:dyDescent="0.2">
      <c r="B31" s="27">
        <v>0</v>
      </c>
      <c r="C31" s="24"/>
      <c r="D31" s="25" t="s">
        <v>106</v>
      </c>
      <c r="E31" s="6"/>
      <c r="F31" s="27">
        <v>0</v>
      </c>
      <c r="G31" s="14"/>
      <c r="H31" s="25" t="s">
        <v>149</v>
      </c>
      <c r="I31" s="6"/>
      <c r="M31" s="6"/>
      <c r="W31" s="1"/>
      <c r="X31" s="1"/>
    </row>
    <row r="32" spans="1:24" ht="13.5" thickBot="1" x14ac:dyDescent="0.25">
      <c r="B32" s="27">
        <v>0</v>
      </c>
      <c r="C32" s="24"/>
      <c r="D32" s="25" t="s">
        <v>4</v>
      </c>
      <c r="E32" s="6"/>
      <c r="F32" s="88">
        <v>0</v>
      </c>
      <c r="G32" s="34"/>
      <c r="H32" s="35" t="s">
        <v>136</v>
      </c>
      <c r="I32" s="6"/>
      <c r="J32" s="10" t="s">
        <v>73</v>
      </c>
      <c r="K32" s="1"/>
      <c r="L32" s="2"/>
      <c r="M32" s="6"/>
      <c r="N32" s="10" t="s">
        <v>74</v>
      </c>
      <c r="O32" s="1"/>
      <c r="P32" s="2"/>
      <c r="W32" s="1"/>
      <c r="X32" s="1"/>
    </row>
    <row r="33" spans="2:24" x14ac:dyDescent="0.2">
      <c r="B33" s="28">
        <v>0</v>
      </c>
      <c r="C33" s="24"/>
      <c r="D33" s="25" t="s">
        <v>181</v>
      </c>
      <c r="E33" s="6"/>
      <c r="F33" s="36"/>
      <c r="G33" s="14"/>
      <c r="H33" s="37"/>
      <c r="I33" s="6"/>
      <c r="J33" s="33">
        <v>0</v>
      </c>
      <c r="K33" s="46"/>
      <c r="L33" s="22" t="s">
        <v>87</v>
      </c>
      <c r="M33" s="6"/>
      <c r="N33" s="33">
        <v>0</v>
      </c>
      <c r="O33" s="46"/>
      <c r="P33" s="22" t="s">
        <v>87</v>
      </c>
      <c r="W33" s="1"/>
      <c r="X33" s="1"/>
    </row>
    <row r="34" spans="2:24" x14ac:dyDescent="0.2">
      <c r="B34" s="27">
        <v>0</v>
      </c>
      <c r="C34" s="24"/>
      <c r="D34" s="25" t="s">
        <v>1</v>
      </c>
      <c r="E34" s="6"/>
      <c r="F34" s="23">
        <f>SUM(F21:F27)+F30+SUM(B59:B60)</f>
        <v>0</v>
      </c>
      <c r="G34" s="24"/>
      <c r="H34" s="25" t="s">
        <v>100</v>
      </c>
      <c r="I34" s="6"/>
      <c r="J34" s="27">
        <v>0</v>
      </c>
      <c r="K34" s="14"/>
      <c r="L34" s="25" t="s">
        <v>89</v>
      </c>
      <c r="M34" s="6"/>
      <c r="N34" s="27">
        <v>0</v>
      </c>
      <c r="O34" s="14"/>
      <c r="P34" s="25" t="s">
        <v>89</v>
      </c>
      <c r="T34" s="1"/>
      <c r="U34" s="1"/>
      <c r="V34" s="1"/>
      <c r="W34" s="1"/>
      <c r="X34" s="1"/>
    </row>
    <row r="35" spans="2:24" x14ac:dyDescent="0.2">
      <c r="B35" s="27">
        <v>0</v>
      </c>
      <c r="C35" s="24"/>
      <c r="D35" s="90" t="s">
        <v>227</v>
      </c>
      <c r="E35" s="6"/>
      <c r="F35" s="23">
        <f>IF(B51-B151&lt;=0,B61,IF(B61-B150*(B51-B151)&lt;B149,B149,MAX(B149,B61)-B150*(B51-B151)))</f>
        <v>0</v>
      </c>
      <c r="G35" s="15"/>
      <c r="H35" s="25" t="s">
        <v>203</v>
      </c>
      <c r="I35" s="6"/>
      <c r="J35" s="27">
        <v>0</v>
      </c>
      <c r="K35" s="14"/>
      <c r="L35" s="25" t="s">
        <v>90</v>
      </c>
      <c r="M35" s="6"/>
      <c r="N35" s="27">
        <v>0</v>
      </c>
      <c r="O35" s="14"/>
      <c r="P35" s="25" t="s">
        <v>90</v>
      </c>
      <c r="T35" s="1"/>
      <c r="U35" s="1"/>
      <c r="V35" s="1"/>
      <c r="W35" s="1"/>
      <c r="X35" s="1"/>
    </row>
    <row r="36" spans="2:24" x14ac:dyDescent="0.2">
      <c r="B36" s="27">
        <v>0</v>
      </c>
      <c r="C36" s="24"/>
      <c r="D36" s="90" t="s">
        <v>228</v>
      </c>
      <c r="E36" s="6"/>
      <c r="F36" s="23">
        <f>F21+F27+F30+F35+SUM(B59:B60)</f>
        <v>0</v>
      </c>
      <c r="G36" s="15"/>
      <c r="H36" s="25" t="s">
        <v>204</v>
      </c>
      <c r="I36" s="6"/>
      <c r="J36" s="27">
        <v>0</v>
      </c>
      <c r="K36" s="14"/>
      <c r="L36" s="25" t="s">
        <v>92</v>
      </c>
      <c r="M36" s="6"/>
      <c r="N36" s="27">
        <v>0</v>
      </c>
      <c r="O36" s="14"/>
      <c r="P36" s="25" t="s">
        <v>92</v>
      </c>
      <c r="T36" s="1"/>
      <c r="U36" s="1"/>
      <c r="V36" s="1"/>
      <c r="W36" s="1"/>
      <c r="X36" s="1"/>
    </row>
    <row r="37" spans="2:24" x14ac:dyDescent="0.2">
      <c r="B37" s="23"/>
      <c r="C37" s="24"/>
      <c r="D37" s="29"/>
      <c r="E37" s="6"/>
      <c r="F37" s="23">
        <f>MIN(B124*F36,B123*MAX(B51-B122,0))</f>
        <v>0</v>
      </c>
      <c r="G37" s="24"/>
      <c r="H37" s="25" t="s">
        <v>97</v>
      </c>
      <c r="I37" s="6"/>
      <c r="J37" s="27">
        <v>0</v>
      </c>
      <c r="K37" s="14"/>
      <c r="L37" s="25" t="s">
        <v>93</v>
      </c>
      <c r="M37" s="6"/>
      <c r="N37" s="27">
        <v>0</v>
      </c>
      <c r="O37" s="14"/>
      <c r="P37" s="25" t="s">
        <v>93</v>
      </c>
      <c r="T37" s="1"/>
      <c r="U37" s="1"/>
      <c r="V37" s="1"/>
      <c r="W37" s="1"/>
      <c r="X37" s="1"/>
    </row>
    <row r="38" spans="2:24" ht="13.5" thickBot="1" x14ac:dyDescent="0.25">
      <c r="B38" s="30">
        <f>SUM(B21:B36)</f>
        <v>0</v>
      </c>
      <c r="C38" s="31"/>
      <c r="D38" s="32" t="s">
        <v>6</v>
      </c>
      <c r="E38" s="6"/>
      <c r="F38" s="38">
        <f>MAX(F36-F37,B112+(SUM(B75:B76)*B113)+MIN(B147,F28))+IF(B112+(SUM(B75:B76)*B113)&lt;F36-F37,0,MIN(B125,F28))</f>
        <v>32200</v>
      </c>
      <c r="G38" s="24"/>
      <c r="H38" s="25" t="s">
        <v>101</v>
      </c>
      <c r="I38" s="6"/>
      <c r="J38" s="27">
        <v>0</v>
      </c>
      <c r="K38" s="14"/>
      <c r="L38" s="25" t="s">
        <v>94</v>
      </c>
      <c r="M38" s="6"/>
      <c r="N38" s="27">
        <v>0</v>
      </c>
      <c r="O38" s="14"/>
      <c r="P38" s="25" t="s">
        <v>94</v>
      </c>
      <c r="T38" s="1"/>
      <c r="U38" s="1"/>
      <c r="V38" s="1"/>
      <c r="W38" s="1"/>
      <c r="X38" s="1"/>
    </row>
    <row r="39" spans="2:24" x14ac:dyDescent="0.2">
      <c r="B39" s="4"/>
      <c r="C39" s="6"/>
      <c r="D39" s="7"/>
      <c r="E39" s="6"/>
      <c r="F39" s="23"/>
      <c r="G39" s="24"/>
      <c r="H39" s="29"/>
      <c r="I39" s="6"/>
      <c r="J39" s="27">
        <v>0</v>
      </c>
      <c r="K39" s="14"/>
      <c r="L39" s="25" t="s">
        <v>95</v>
      </c>
      <c r="M39" s="6"/>
      <c r="N39" s="27">
        <v>0</v>
      </c>
      <c r="O39" s="14"/>
      <c r="P39" s="25" t="s">
        <v>95</v>
      </c>
      <c r="T39" s="1"/>
      <c r="U39" s="1"/>
      <c r="V39" s="1"/>
      <c r="W39" s="1"/>
      <c r="X39" s="1"/>
    </row>
    <row r="40" spans="2:24" ht="13.5" thickBot="1" x14ac:dyDescent="0.25">
      <c r="B40" s="8" t="s">
        <v>27</v>
      </c>
      <c r="C40" s="6"/>
      <c r="D40" s="7"/>
      <c r="E40" s="6"/>
      <c r="F40" s="23">
        <f>B114*B74</f>
        <v>0</v>
      </c>
      <c r="G40" s="24"/>
      <c r="H40" s="25" t="s">
        <v>28</v>
      </c>
      <c r="I40" s="6"/>
      <c r="J40" s="27">
        <v>0</v>
      </c>
      <c r="K40" s="14"/>
      <c r="L40" s="25" t="s">
        <v>96</v>
      </c>
      <c r="M40" s="6"/>
      <c r="N40" s="27">
        <v>0</v>
      </c>
      <c r="O40" s="14"/>
      <c r="P40" s="25" t="s">
        <v>96</v>
      </c>
      <c r="T40" s="1"/>
      <c r="U40" s="1"/>
      <c r="V40" s="1"/>
      <c r="W40" s="1"/>
      <c r="X40" s="1"/>
    </row>
    <row r="41" spans="2:24" x14ac:dyDescent="0.2">
      <c r="B41" s="42">
        <f>N62</f>
        <v>0</v>
      </c>
      <c r="C41" s="21"/>
      <c r="D41" s="22" t="s">
        <v>29</v>
      </c>
      <c r="E41" s="6"/>
      <c r="F41" s="23">
        <f>F40*B117*CEILING(MAX((B51-B116)/B115,0),1)</f>
        <v>0</v>
      </c>
      <c r="G41" s="24"/>
      <c r="H41" s="25" t="s">
        <v>97</v>
      </c>
      <c r="I41" s="6"/>
      <c r="J41" s="27">
        <v>0</v>
      </c>
      <c r="K41" s="14"/>
      <c r="L41" s="25" t="s">
        <v>98</v>
      </c>
      <c r="M41" s="6"/>
      <c r="N41" s="27">
        <v>0</v>
      </c>
      <c r="O41" s="14"/>
      <c r="P41" s="25" t="s">
        <v>98</v>
      </c>
      <c r="T41" s="1"/>
      <c r="U41" s="1"/>
      <c r="V41" s="1"/>
      <c r="W41" s="1"/>
      <c r="X41" s="1"/>
    </row>
    <row r="42" spans="2:24" x14ac:dyDescent="0.2">
      <c r="B42" s="23">
        <f>(F59+MAX(0,B130*(B52-B111)))/2</f>
        <v>0</v>
      </c>
      <c r="C42" s="24"/>
      <c r="D42" s="25" t="s">
        <v>30</v>
      </c>
      <c r="E42" s="6"/>
      <c r="F42" s="23">
        <f>MAX(0,F40-F41)</f>
        <v>0</v>
      </c>
      <c r="G42" s="24"/>
      <c r="H42" s="25" t="s">
        <v>31</v>
      </c>
      <c r="I42" s="6"/>
      <c r="J42" s="27">
        <v>0</v>
      </c>
      <c r="K42" s="14"/>
      <c r="L42" s="25" t="s">
        <v>99</v>
      </c>
      <c r="M42" s="6"/>
      <c r="N42" s="27">
        <v>0</v>
      </c>
      <c r="O42" s="14"/>
      <c r="P42" s="25" t="s">
        <v>99</v>
      </c>
      <c r="T42" s="1"/>
      <c r="U42" s="1"/>
      <c r="V42" s="1"/>
      <c r="W42" s="1"/>
      <c r="X42" s="1"/>
    </row>
    <row r="43" spans="2:24" x14ac:dyDescent="0.2">
      <c r="B43" s="27">
        <v>0</v>
      </c>
      <c r="C43" s="24"/>
      <c r="D43" s="25" t="s">
        <v>32</v>
      </c>
      <c r="E43" s="6"/>
      <c r="F43" s="23">
        <f>IF(B76&gt;=2,2,MAX(0,B76))*MAX(0,B140-MAX(0,B141*(B51-B142)))</f>
        <v>0</v>
      </c>
      <c r="H43" s="25" t="s">
        <v>240</v>
      </c>
      <c r="I43" s="6"/>
      <c r="J43" s="27">
        <v>0</v>
      </c>
      <c r="K43" s="14"/>
      <c r="L43" s="25" t="s">
        <v>102</v>
      </c>
      <c r="M43" s="6"/>
      <c r="N43" s="27">
        <v>0</v>
      </c>
      <c r="O43" s="14"/>
      <c r="P43" s="25" t="s">
        <v>102</v>
      </c>
      <c r="T43" s="1"/>
      <c r="U43" s="1"/>
      <c r="V43" s="1"/>
      <c r="W43" s="1"/>
      <c r="X43" s="1"/>
    </row>
    <row r="44" spans="2:24" x14ac:dyDescent="0.2">
      <c r="B44" s="27">
        <v>0</v>
      </c>
      <c r="C44" s="24"/>
      <c r="D44" s="25" t="s">
        <v>213</v>
      </c>
      <c r="E44" s="6"/>
      <c r="F44" s="27">
        <v>0</v>
      </c>
      <c r="G44" s="24"/>
      <c r="H44" s="25" t="s">
        <v>222</v>
      </c>
      <c r="I44" s="6"/>
      <c r="J44" s="27">
        <v>0</v>
      </c>
      <c r="K44" s="14"/>
      <c r="L44" s="25" t="s">
        <v>103</v>
      </c>
      <c r="M44" s="6"/>
      <c r="N44" s="27">
        <v>0</v>
      </c>
      <c r="O44" s="14"/>
      <c r="P44" s="25" t="s">
        <v>103</v>
      </c>
      <c r="T44" s="1"/>
      <c r="U44" s="1"/>
      <c r="V44" s="1"/>
      <c r="W44" s="1"/>
      <c r="X44" s="1"/>
    </row>
    <row r="45" spans="2:24" x14ac:dyDescent="0.2">
      <c r="B45" s="27">
        <v>0</v>
      </c>
      <c r="C45" s="24"/>
      <c r="D45" s="25" t="s">
        <v>147</v>
      </c>
      <c r="E45" s="6"/>
      <c r="F45" s="23"/>
      <c r="G45" s="24"/>
      <c r="H45" s="29"/>
      <c r="I45" s="6"/>
      <c r="J45" s="36"/>
      <c r="K45" s="14"/>
      <c r="L45" s="29"/>
      <c r="M45" s="6"/>
      <c r="N45" s="36"/>
      <c r="O45" s="14"/>
      <c r="P45" s="29"/>
      <c r="T45" s="1"/>
      <c r="U45" s="1"/>
      <c r="V45" s="1"/>
      <c r="W45" s="1"/>
      <c r="X45" s="1"/>
    </row>
    <row r="46" spans="2:24" ht="13.5" thickBot="1" x14ac:dyDescent="0.25">
      <c r="B46" s="27">
        <v>0</v>
      </c>
      <c r="C46" s="24"/>
      <c r="D46" s="25" t="s">
        <v>148</v>
      </c>
      <c r="E46" s="6"/>
      <c r="F46" s="30">
        <f>MAX(0,B51-F38-SUM(F42:F44)-(B70*IF(OR(B80="1",B80="y",B80="Y",B80="yes",B80="YES",B80="Yes",B80="true",B80="TRUE",B80="True"),1,0)))</f>
        <v>0</v>
      </c>
      <c r="G46" s="31"/>
      <c r="H46" s="32" t="s">
        <v>83</v>
      </c>
      <c r="I46" s="6"/>
      <c r="J46" s="47">
        <f>SUM(J33:J44)</f>
        <v>0</v>
      </c>
      <c r="K46" s="48"/>
      <c r="L46" s="32" t="s">
        <v>25</v>
      </c>
      <c r="M46" s="6"/>
      <c r="N46" s="47">
        <f>SUM(N33:N44)</f>
        <v>0</v>
      </c>
      <c r="O46" s="48"/>
      <c r="P46" s="32" t="s">
        <v>25</v>
      </c>
      <c r="T46" s="1"/>
      <c r="U46" s="1"/>
      <c r="V46" s="1"/>
      <c r="W46" s="1"/>
      <c r="X46" s="1"/>
    </row>
    <row r="47" spans="2:24" x14ac:dyDescent="0.2">
      <c r="B47" s="36"/>
      <c r="C47" s="14"/>
      <c r="D47" s="37"/>
      <c r="E47" s="6"/>
      <c r="I47" s="6"/>
      <c r="J47" s="3"/>
      <c r="K47" s="1"/>
      <c r="L47" s="2"/>
      <c r="M47" s="6"/>
      <c r="N47" s="3"/>
      <c r="O47" s="1"/>
      <c r="P47" s="2"/>
      <c r="T47" s="1"/>
      <c r="U47" s="1"/>
      <c r="V47" s="1"/>
      <c r="W47" s="1"/>
      <c r="X47" s="1"/>
    </row>
    <row r="48" spans="2:24" ht="13.5" thickBot="1" x14ac:dyDescent="0.25">
      <c r="B48" s="49">
        <f>B41+B42+(B43*B136)+B44+B45+B46-B53</f>
        <v>0</v>
      </c>
      <c r="C48" s="31"/>
      <c r="D48" s="32" t="s">
        <v>143</v>
      </c>
      <c r="E48" s="6"/>
      <c r="F48" s="8" t="s">
        <v>55</v>
      </c>
      <c r="G48" s="6"/>
      <c r="H48" s="7"/>
      <c r="I48" s="6"/>
      <c r="J48" s="10" t="s">
        <v>24</v>
      </c>
      <c r="K48" s="6"/>
      <c r="L48" s="7"/>
      <c r="M48" s="6"/>
      <c r="N48" s="10" t="s">
        <v>29</v>
      </c>
      <c r="O48" s="6"/>
      <c r="P48" s="7"/>
      <c r="T48" s="1"/>
      <c r="U48" s="1"/>
      <c r="V48" s="1"/>
      <c r="W48" s="1"/>
      <c r="X48" s="1"/>
    </row>
    <row r="49" spans="2:25" x14ac:dyDescent="0.2">
      <c r="B49" s="4"/>
      <c r="C49" s="6"/>
      <c r="D49" s="7"/>
      <c r="E49" s="6"/>
      <c r="F49" s="42">
        <f>IF(F46-SUM(B54:B55)&gt;B98,(B99+(B100*(F46-B98-SUM(B54:B55)))),IF(F46-SUM(B54:B55)&gt;B95,(B96+(B97*(F46-B95-SUM(B54:B55)))),IF(F46-SUM(B54:B55)&gt;B92,(B93+(B94*(F46-B92-SUM(B54:B55)))),IF(F46-SUM(B54:B55)&gt;B89,(B90+(B91*(F46-B89-SUM(B54:B55)))),IF(F46-SUM(B54:B55)&gt;B86,((B87+(B88*(F46-B86-SUM(B54:B55))))),IF(F46-SUM(B54:B55)&gt;B83,(B84+(B85*(F46-B83-SUM(B54:B55)))),B82*MAX(0,F46-SUM(B54:B55))))))))+IF(F46&lt;=B102,B101*SUM(B54:B55),IF(AND(F46&lt;=B104,F46-SUM(B54:B55)&lt;=B102),B103*(F46-B102)+B101*(MAX(0,SUM(B54:B55)-(F46-B102))),IF(F46&lt;=B104,B103*SUM(B54:B55),IF(F46-SUM(B54:B55)&gt;B104,B105*SUM(B54:B55),B105*(F46-B104)+B103*(B104-MAX(B102,MAX(0,F46-SUM(B54:B55))))))))</f>
        <v>0</v>
      </c>
      <c r="G49" s="21"/>
      <c r="H49" s="22" t="s">
        <v>36</v>
      </c>
      <c r="I49" s="6"/>
      <c r="J49" s="33">
        <v>0</v>
      </c>
      <c r="K49" s="21"/>
      <c r="L49" s="22" t="s">
        <v>87</v>
      </c>
      <c r="M49" s="6"/>
      <c r="N49" s="33">
        <v>0</v>
      </c>
      <c r="O49" s="21"/>
      <c r="P49" s="22" t="s">
        <v>87</v>
      </c>
      <c r="T49" s="1"/>
      <c r="U49" s="1"/>
      <c r="V49" s="1"/>
      <c r="W49" s="1"/>
      <c r="X49" s="1"/>
    </row>
    <row r="50" spans="2:25" ht="13.5" thickBot="1" x14ac:dyDescent="0.25">
      <c r="B50" s="8" t="s">
        <v>81</v>
      </c>
      <c r="C50" s="6"/>
      <c r="D50" s="7"/>
      <c r="E50" s="6"/>
      <c r="F50" s="27">
        <v>0</v>
      </c>
      <c r="G50" s="24"/>
      <c r="H50" s="25" t="s">
        <v>139</v>
      </c>
      <c r="I50" s="6"/>
      <c r="J50" s="27">
        <v>0</v>
      </c>
      <c r="K50" s="24"/>
      <c r="L50" s="25" t="s">
        <v>89</v>
      </c>
      <c r="M50" s="6"/>
      <c r="N50" s="27">
        <v>0</v>
      </c>
      <c r="O50" s="24"/>
      <c r="P50" s="25" t="s">
        <v>89</v>
      </c>
      <c r="Q50" s="4"/>
      <c r="R50" s="6"/>
      <c r="S50" s="7"/>
      <c r="T50" s="1"/>
      <c r="U50" s="1"/>
      <c r="V50" s="1"/>
      <c r="W50" s="1"/>
      <c r="X50" s="1"/>
      <c r="Y50" s="1"/>
    </row>
    <row r="51" spans="2:25" x14ac:dyDescent="0.2">
      <c r="B51" s="65">
        <f>MAX(0,B38-B48)</f>
        <v>0</v>
      </c>
      <c r="C51" s="21"/>
      <c r="D51" s="22" t="s">
        <v>144</v>
      </c>
      <c r="E51" s="6"/>
      <c r="F51" s="23">
        <f>IF(B128=0,B129*MAX(0,SUM(B21:B22)-B44),IF((B128&lt;=MAX(0,B129*MAX(0,SUM(B21:B22)-B44))),MAX(0,B128),B129*MAX(0,SUM(B21:B22)-B44)))</f>
        <v>0</v>
      </c>
      <c r="G51" s="14"/>
      <c r="H51" s="25" t="s">
        <v>53</v>
      </c>
      <c r="I51" s="6"/>
      <c r="J51" s="27">
        <v>0</v>
      </c>
      <c r="K51" s="24"/>
      <c r="L51" s="25" t="s">
        <v>90</v>
      </c>
      <c r="M51" s="6"/>
      <c r="N51" s="27">
        <v>0</v>
      </c>
      <c r="O51" s="24"/>
      <c r="P51" s="25" t="s">
        <v>90</v>
      </c>
      <c r="Q51" s="4"/>
      <c r="R51" s="6"/>
      <c r="S51" s="7"/>
      <c r="T51" s="1"/>
      <c r="U51" s="1"/>
      <c r="V51" s="1"/>
      <c r="W51" s="1"/>
      <c r="X51" s="1"/>
      <c r="Y51" s="1"/>
    </row>
    <row r="52" spans="2:25" x14ac:dyDescent="0.2">
      <c r="B52" s="23">
        <f>B23-B41</f>
        <v>0</v>
      </c>
      <c r="C52" s="24"/>
      <c r="D52" s="25" t="s">
        <v>145</v>
      </c>
      <c r="E52" s="6"/>
      <c r="F52" s="23">
        <f>B130*(MAX(0,SUM(B21:B22)+B52-B44-B111))</f>
        <v>0</v>
      </c>
      <c r="G52" s="14"/>
      <c r="H52" s="25" t="s">
        <v>85</v>
      </c>
      <c r="I52" s="6"/>
      <c r="J52" s="27">
        <v>0</v>
      </c>
      <c r="K52" s="24"/>
      <c r="L52" s="25" t="s">
        <v>92</v>
      </c>
      <c r="M52" s="6"/>
      <c r="N52" s="27">
        <v>0</v>
      </c>
      <c r="O52" s="24"/>
      <c r="P52" s="25" t="s">
        <v>92</v>
      </c>
      <c r="Q52" s="4"/>
      <c r="R52" s="6"/>
      <c r="S52" s="7"/>
      <c r="T52" s="1"/>
      <c r="U52" s="1"/>
      <c r="V52" s="1"/>
      <c r="W52" s="1"/>
      <c r="X52" s="1"/>
      <c r="Y52" s="1"/>
    </row>
    <row r="53" spans="2:25" x14ac:dyDescent="0.2">
      <c r="B53" s="23">
        <f>IF(SUM(B30:B32)-B45&gt;0,0,IF((B45-SUM(B30:B32))&gt;B137,(B45-B137-SUM(B30:B32)),0))</f>
        <v>0</v>
      </c>
      <c r="C53" s="24"/>
      <c r="D53" s="25" t="s">
        <v>146</v>
      </c>
      <c r="E53" s="6"/>
      <c r="F53" s="23">
        <f>IF(SUM(B21:B22)+SUM(B24:B36)+B52-SUM(B44:B45)&gt;B111,B110*MAX(0,MIN(SUM(B24:B27)+SUM(B29:B32)-(IF(B51=0,0,(SUM(B24:B27)+SUM(B29:B32))/B51)*F35),SUM(B21:B22)+SUM(B24:B36)+B52-SUM(B44:B45)-B111)),0)</f>
        <v>0</v>
      </c>
      <c r="H53" s="25" t="s">
        <v>186</v>
      </c>
      <c r="I53" s="6"/>
      <c r="J53" s="27">
        <v>0</v>
      </c>
      <c r="K53" s="24"/>
      <c r="L53" s="25" t="s">
        <v>93</v>
      </c>
      <c r="M53" s="6"/>
      <c r="N53" s="27">
        <v>0</v>
      </c>
      <c r="O53" s="24"/>
      <c r="P53" s="25" t="s">
        <v>93</v>
      </c>
      <c r="Q53" s="4"/>
      <c r="R53" s="6"/>
      <c r="S53" s="7"/>
      <c r="T53" s="1"/>
      <c r="U53" s="1"/>
      <c r="V53" s="1"/>
      <c r="W53" s="1"/>
      <c r="X53" s="1"/>
      <c r="Y53" s="1"/>
    </row>
    <row r="54" spans="2:25" x14ac:dyDescent="0.2">
      <c r="B54" s="23">
        <f>MAX(0,B31-B45)+B29</f>
        <v>0</v>
      </c>
      <c r="C54" s="24"/>
      <c r="D54" s="25" t="s">
        <v>105</v>
      </c>
      <c r="E54" s="6"/>
      <c r="F54" s="23">
        <f>IF(B132=0,B135*MAX(0,SUM(B21:B22)-B44),MIN(B132/2,B135*MIN(B133,MAX(0,B21-B44)))+MIN(B132/2,B135*MIN(B133,B22)))</f>
        <v>0</v>
      </c>
      <c r="G54" s="24"/>
      <c r="H54" s="25" t="s">
        <v>39</v>
      </c>
      <c r="I54" s="6"/>
      <c r="J54" s="27">
        <v>0</v>
      </c>
      <c r="K54" s="24"/>
      <c r="L54" s="25" t="s">
        <v>94</v>
      </c>
      <c r="M54" s="6"/>
      <c r="N54" s="27">
        <v>0</v>
      </c>
      <c r="O54" s="24"/>
      <c r="P54" s="25" t="s">
        <v>94</v>
      </c>
      <c r="Q54" s="4"/>
      <c r="R54" s="6"/>
      <c r="S54" s="7"/>
      <c r="T54" s="1"/>
      <c r="U54" s="1"/>
      <c r="V54" s="1"/>
      <c r="W54" s="1"/>
      <c r="X54" s="1"/>
      <c r="Y54" s="1"/>
    </row>
    <row r="55" spans="2:25" x14ac:dyDescent="0.2">
      <c r="B55" s="23">
        <f>MAX(0,MIN(B32,SUM(B31:B32)-B45))</f>
        <v>0</v>
      </c>
      <c r="C55" s="24"/>
      <c r="D55" s="25" t="s">
        <v>171</v>
      </c>
      <c r="E55" s="6"/>
      <c r="F55" s="23">
        <f>IF(OR(B77="1",B77="y",B77="Y",B77="yes",B77="YES",B77="Yes",B77="true",B77="TRUE",B77="True"),MAX(0,F54-(B133*B135)),0)</f>
        <v>0</v>
      </c>
      <c r="G55" s="24"/>
      <c r="H55" s="25" t="s">
        <v>42</v>
      </c>
      <c r="I55" s="6"/>
      <c r="J55" s="27">
        <v>0</v>
      </c>
      <c r="K55" s="24"/>
      <c r="L55" s="25" t="s">
        <v>95</v>
      </c>
      <c r="M55" s="6"/>
      <c r="N55" s="27">
        <v>0</v>
      </c>
      <c r="O55" s="24"/>
      <c r="P55" s="25" t="s">
        <v>95</v>
      </c>
      <c r="Q55" s="4"/>
      <c r="R55" s="6"/>
      <c r="S55" s="7"/>
      <c r="T55" s="1"/>
      <c r="U55" s="1"/>
      <c r="V55" s="1"/>
      <c r="W55" s="1"/>
      <c r="X55" s="1"/>
      <c r="Y55" s="1"/>
    </row>
    <row r="56" spans="2:25" x14ac:dyDescent="0.2">
      <c r="B56" s="23">
        <f>IF(B54+B55&lt;&gt;B38,B54+B55,MAX(0,MIN(F46,B54+B55)-B86))</f>
        <v>0</v>
      </c>
      <c r="C56" s="24"/>
      <c r="D56" s="25" t="s">
        <v>142</v>
      </c>
      <c r="E56" s="6"/>
      <c r="F56" s="76"/>
      <c r="G56" s="34"/>
      <c r="H56" s="51"/>
      <c r="I56" s="6"/>
      <c r="J56" s="27">
        <v>0</v>
      </c>
      <c r="K56" s="24"/>
      <c r="L56" s="25" t="s">
        <v>96</v>
      </c>
      <c r="M56" s="6"/>
      <c r="N56" s="27">
        <v>0</v>
      </c>
      <c r="O56" s="24"/>
      <c r="P56" s="25" t="s">
        <v>96</v>
      </c>
      <c r="Q56" s="4"/>
      <c r="R56" s="6"/>
      <c r="S56" s="7"/>
      <c r="T56" s="1"/>
      <c r="U56" s="1"/>
      <c r="V56" s="1"/>
      <c r="W56" s="1"/>
      <c r="X56" s="1"/>
      <c r="Y56" s="1"/>
    </row>
    <row r="57" spans="2:25" x14ac:dyDescent="0.2">
      <c r="B57" s="23">
        <f>B51*IF(SUM(B75:B76)=0,B138,B139)</f>
        <v>0</v>
      </c>
      <c r="C57" s="14"/>
      <c r="D57" s="25" t="s">
        <v>50</v>
      </c>
      <c r="E57" s="6"/>
      <c r="F57" s="23">
        <f>IF(B127*B52&lt;B134,0,IF(B133=0,B131*B127*B52,IF(OR(B77="1",B77="y",B77="Y",B77="yes",B77="YES",B77="Yes",B77="true",B77="TRUE",B77="True"),IF(B21+B22&gt;B133,0,B131*MIN(B133-B21-B22,B127*B52)),IF(B21&gt;B133,0,B131*MIN(B133-B21,B127*B52)))))</f>
        <v>0</v>
      </c>
      <c r="G57" s="24"/>
      <c r="H57" s="25" t="s">
        <v>44</v>
      </c>
      <c r="I57" s="6"/>
      <c r="J57" s="27">
        <v>0</v>
      </c>
      <c r="K57" s="24"/>
      <c r="L57" s="25" t="s">
        <v>98</v>
      </c>
      <c r="M57" s="6"/>
      <c r="N57" s="27">
        <v>0</v>
      </c>
      <c r="O57" s="24"/>
      <c r="P57" s="25" t="s">
        <v>98</v>
      </c>
      <c r="Q57" s="4"/>
      <c r="R57" s="6"/>
      <c r="S57" s="7"/>
      <c r="T57" s="1"/>
      <c r="U57" s="1"/>
      <c r="V57" s="1"/>
      <c r="W57" s="1"/>
      <c r="X57" s="1"/>
      <c r="Y57" s="1"/>
    </row>
    <row r="58" spans="2:25" x14ac:dyDescent="0.2">
      <c r="B58" s="23">
        <f>(0*B51*B143)+F32</f>
        <v>0</v>
      </c>
      <c r="C58" s="14"/>
      <c r="D58" s="25" t="s">
        <v>49</v>
      </c>
      <c r="E58" s="1"/>
      <c r="F58" s="23">
        <f>IF(B127*B52&lt;B134,0,IF(B128=0,MAX(0,B126*B127*B52),IF(B128&lt;=MAX(0,B126*B127*B52),B128,MAX(0,B126*B127*B52))))</f>
        <v>0</v>
      </c>
      <c r="G58" s="24"/>
      <c r="H58" s="25" t="s">
        <v>45</v>
      </c>
      <c r="I58" s="1"/>
      <c r="J58" s="27">
        <v>0</v>
      </c>
      <c r="K58" s="24"/>
      <c r="L58" s="25" t="s">
        <v>99</v>
      </c>
      <c r="M58" s="6"/>
      <c r="N58" s="27">
        <v>0</v>
      </c>
      <c r="O58" s="24"/>
      <c r="P58" s="25" t="s">
        <v>99</v>
      </c>
      <c r="Q58" s="4"/>
      <c r="R58" s="6"/>
      <c r="S58" s="7"/>
      <c r="T58" s="1"/>
      <c r="U58" s="1"/>
      <c r="V58" s="1"/>
      <c r="W58" s="1"/>
      <c r="X58" s="1"/>
      <c r="Y58" s="1"/>
    </row>
    <row r="59" spans="2:25" x14ac:dyDescent="0.2">
      <c r="B59" s="23">
        <f>MAX(0,F31-B43-B57)+MAX(0,F32-B58)</f>
        <v>0</v>
      </c>
      <c r="C59" s="24"/>
      <c r="D59" s="25" t="s">
        <v>152</v>
      </c>
      <c r="E59" s="1"/>
      <c r="F59" s="23">
        <f>F57+F58</f>
        <v>0</v>
      </c>
      <c r="G59" s="24"/>
      <c r="H59" s="25" t="s">
        <v>47</v>
      </c>
      <c r="I59" s="1"/>
      <c r="J59" s="27">
        <v>0</v>
      </c>
      <c r="K59" s="24"/>
      <c r="L59" s="25" t="s">
        <v>102</v>
      </c>
      <c r="M59" s="6"/>
      <c r="N59" s="27">
        <v>0</v>
      </c>
      <c r="O59" s="24"/>
      <c r="P59" s="25" t="s">
        <v>102</v>
      </c>
      <c r="Q59" s="4"/>
      <c r="R59" s="6"/>
      <c r="S59" s="7"/>
    </row>
    <row r="60" spans="2:25" x14ac:dyDescent="0.2">
      <c r="B60" s="23">
        <f>MAX(0,MIN(B51*B144,SUM(F28:F29))-(B51*B145)-MIN(B146*SUM(F28:F29),MAX(0,B146*(B51+SUM(F28:F29)-B98))))</f>
        <v>0</v>
      </c>
      <c r="D60" s="25" t="s">
        <v>15</v>
      </c>
      <c r="E60" s="1"/>
      <c r="F60" s="50"/>
      <c r="G60" s="34"/>
      <c r="H60" s="51"/>
      <c r="I60" s="1"/>
      <c r="J60" s="27">
        <v>0</v>
      </c>
      <c r="K60" s="24"/>
      <c r="L60" s="25" t="s">
        <v>103</v>
      </c>
      <c r="M60" s="6"/>
      <c r="N60" s="27">
        <v>0</v>
      </c>
      <c r="O60" s="24"/>
      <c r="P60" s="25" t="s">
        <v>103</v>
      </c>
      <c r="Q60" s="4"/>
      <c r="R60" s="6"/>
      <c r="S60" s="7"/>
    </row>
    <row r="61" spans="2:25" x14ac:dyDescent="0.2">
      <c r="B61" s="23">
        <f>MIN(B148,SUM(F22:F26))</f>
        <v>0</v>
      </c>
      <c r="D61" s="25" t="s">
        <v>249</v>
      </c>
      <c r="E61" s="1"/>
      <c r="F61" s="52">
        <f>F49+F50+F52+F53-F55+F59</f>
        <v>0</v>
      </c>
      <c r="G61" s="24"/>
      <c r="H61" s="25" t="s">
        <v>165</v>
      </c>
      <c r="I61" s="1"/>
      <c r="J61" s="23"/>
      <c r="K61" s="24"/>
      <c r="L61" s="29"/>
      <c r="M61" s="6"/>
      <c r="N61" s="23"/>
      <c r="O61" s="24"/>
      <c r="P61" s="29"/>
      <c r="Q61" s="4"/>
      <c r="R61" s="6"/>
      <c r="S61" s="7"/>
    </row>
    <row r="62" spans="2:25" ht="13.5" thickBot="1" x14ac:dyDescent="0.25">
      <c r="B62" s="66">
        <f>B38-F51-F54-F62-F22-F23</f>
        <v>0</v>
      </c>
      <c r="C62" s="31"/>
      <c r="D62" s="32" t="s">
        <v>58</v>
      </c>
      <c r="F62" s="74">
        <f>IF(OR(B78="1",B78="y",B78="Y",B78="yes",B78="YES",B78="Yes",B78="true",B78="TRUE",B78="True"),ROUND(F61+N29,0),F61+N29)</f>
        <v>0</v>
      </c>
      <c r="G62" s="14"/>
      <c r="H62" s="53" t="s">
        <v>168</v>
      </c>
      <c r="I62" s="6"/>
      <c r="J62" s="47">
        <f>SUM(J49:J60)</f>
        <v>0</v>
      </c>
      <c r="K62" s="31"/>
      <c r="L62" s="32" t="s">
        <v>25</v>
      </c>
      <c r="M62" s="6"/>
      <c r="N62" s="47">
        <f>SUM(N49:N60)</f>
        <v>0</v>
      </c>
      <c r="O62" s="31"/>
      <c r="P62" s="32" t="s">
        <v>26</v>
      </c>
      <c r="Q62" s="4"/>
      <c r="R62" s="6"/>
      <c r="S62" s="7"/>
    </row>
    <row r="63" spans="2:25" x14ac:dyDescent="0.2">
      <c r="F63" s="36"/>
      <c r="G63" s="14"/>
      <c r="H63" s="37"/>
      <c r="I63" s="6"/>
      <c r="J63" s="4"/>
      <c r="K63" s="6"/>
      <c r="L63" s="7"/>
      <c r="M63" s="6"/>
      <c r="N63" s="4"/>
      <c r="O63" s="6"/>
      <c r="P63" s="7"/>
      <c r="Q63" s="4"/>
      <c r="R63" s="6"/>
      <c r="S63" s="7"/>
    </row>
    <row r="64" spans="2:25" ht="13.5" thickBot="1" x14ac:dyDescent="0.25">
      <c r="B64" s="8" t="s">
        <v>226</v>
      </c>
      <c r="F64" s="27">
        <v>0</v>
      </c>
      <c r="G64" s="24"/>
      <c r="H64" s="25" t="s">
        <v>34</v>
      </c>
      <c r="I64" s="6"/>
      <c r="J64" s="8" t="s">
        <v>82</v>
      </c>
      <c r="K64" s="6"/>
      <c r="L64" s="7"/>
      <c r="M64" s="6"/>
      <c r="N64" s="4"/>
      <c r="O64" s="6"/>
      <c r="P64" s="7"/>
      <c r="Q64" s="4"/>
      <c r="R64" s="6"/>
      <c r="S64" s="7"/>
    </row>
    <row r="65" spans="2:19" x14ac:dyDescent="0.2">
      <c r="B65" s="91">
        <f>B23-B42-B43+B36</f>
        <v>0</v>
      </c>
      <c r="C65" s="92"/>
      <c r="D65" s="93" t="s">
        <v>234</v>
      </c>
      <c r="F65" s="27">
        <v>0</v>
      </c>
      <c r="G65" s="24"/>
      <c r="H65" s="25" t="s">
        <v>112</v>
      </c>
      <c r="I65" s="6"/>
      <c r="J65" s="33">
        <v>0</v>
      </c>
      <c r="K65" s="21"/>
      <c r="L65" s="22" t="s">
        <v>87</v>
      </c>
      <c r="M65" s="6"/>
      <c r="N65" s="4"/>
      <c r="O65" s="6"/>
      <c r="P65" s="7"/>
      <c r="Q65" s="4"/>
      <c r="R65" s="6"/>
      <c r="S65" s="7"/>
    </row>
    <row r="66" spans="2:19" x14ac:dyDescent="0.2">
      <c r="B66" s="67">
        <f>MAX(0,MIN(1,(((B51-F38-F42)-ROUND(B164*B161,-1))/B162)))</f>
        <v>0</v>
      </c>
      <c r="C66" s="19"/>
      <c r="D66" s="90" t="s">
        <v>235</v>
      </c>
      <c r="F66" s="27">
        <v>0</v>
      </c>
      <c r="G66" s="24"/>
      <c r="H66" s="25" t="s">
        <v>17</v>
      </c>
      <c r="I66" s="6"/>
      <c r="J66" s="27">
        <v>0</v>
      </c>
      <c r="K66" s="24"/>
      <c r="L66" s="25" t="s">
        <v>89</v>
      </c>
      <c r="M66" s="6"/>
      <c r="N66" s="4"/>
      <c r="O66" s="6"/>
      <c r="P66" s="7"/>
      <c r="Q66" s="4"/>
      <c r="R66" s="6"/>
      <c r="S66" s="7"/>
    </row>
    <row r="67" spans="2:19" x14ac:dyDescent="0.2">
      <c r="B67" s="23">
        <f>B65*(1-(B66*IF(OR(B81="1",B81="y",B81="Y",B81="yes",B81="YES",B81="Yes",B81="true",B81="TRUE",B81="True"),1,0)))</f>
        <v>0</v>
      </c>
      <c r="C67" s="19"/>
      <c r="D67" s="90" t="s">
        <v>236</v>
      </c>
      <c r="F67" s="23">
        <f>IF(B119&gt;B51,B118*B79,MAX(0,(B118*B79)-CEILING((B51-B119),B120)*B121))</f>
        <v>0</v>
      </c>
      <c r="G67" s="15"/>
      <c r="H67" s="25" t="s">
        <v>111</v>
      </c>
      <c r="I67" s="6"/>
      <c r="J67" s="27">
        <v>0</v>
      </c>
      <c r="K67" s="24"/>
      <c r="L67" s="25" t="s">
        <v>90</v>
      </c>
      <c r="M67" s="6"/>
      <c r="N67" s="4"/>
      <c r="O67" s="6"/>
      <c r="P67" s="7"/>
      <c r="Q67" s="4"/>
      <c r="R67" s="6"/>
      <c r="S67" s="7"/>
    </row>
    <row r="68" spans="2:19" x14ac:dyDescent="0.2">
      <c r="B68" s="94">
        <f>B67+B35</f>
        <v>0</v>
      </c>
      <c r="C68" s="19"/>
      <c r="D68" s="95" t="s">
        <v>237</v>
      </c>
      <c r="F68" s="54">
        <f>IF(OR(B78="1",B78="y",B78="Y",B78="yes",B78="YES",B78="Yes",B78="true",B78="TRUE",B78="True"),ROUND(MAX(0,F62-F67)-(F64+F66+MIN(F65,N29)),0),MAX(0,F62-F67)-(F64+F66+MIN(F65,N29)))</f>
        <v>0</v>
      </c>
      <c r="G68" s="24"/>
      <c r="H68" s="25" t="s">
        <v>37</v>
      </c>
      <c r="I68" s="6"/>
      <c r="J68" s="27">
        <v>0</v>
      </c>
      <c r="K68" s="24"/>
      <c r="L68" s="25" t="s">
        <v>92</v>
      </c>
      <c r="M68" s="6"/>
      <c r="N68" s="4"/>
      <c r="O68" s="6"/>
      <c r="P68" s="7"/>
      <c r="Q68" s="4"/>
      <c r="R68" s="6"/>
      <c r="S68" s="7"/>
    </row>
    <row r="69" spans="2:19" x14ac:dyDescent="0.2">
      <c r="B69" s="23">
        <f>B51-F38-F42-B29-MIN(B31,IF(B31&gt;0,SUM(B30:B31)))</f>
        <v>-32200</v>
      </c>
      <c r="C69" s="19"/>
      <c r="D69" s="95" t="s">
        <v>238</v>
      </c>
      <c r="F69" s="23">
        <f>J78</f>
        <v>0</v>
      </c>
      <c r="G69" s="24"/>
      <c r="H69" s="25" t="s">
        <v>40</v>
      </c>
      <c r="I69" s="6"/>
      <c r="J69" s="27">
        <v>0</v>
      </c>
      <c r="K69" s="24"/>
      <c r="L69" s="25" t="s">
        <v>93</v>
      </c>
      <c r="M69" s="6"/>
      <c r="N69" s="4"/>
      <c r="O69" s="6"/>
      <c r="P69" s="7"/>
      <c r="Q69" s="4"/>
      <c r="R69" s="6"/>
      <c r="S69" s="7"/>
    </row>
    <row r="70" spans="2:19" ht="13.5" thickBot="1" x14ac:dyDescent="0.25">
      <c r="B70" s="73">
        <f>MAX(0,B163*(MIN(B68,B69)),IF(MIN(B68,B69)&lt;B165,0,B166))</f>
        <v>0</v>
      </c>
      <c r="C70" s="96"/>
      <c r="D70" s="32" t="s">
        <v>225</v>
      </c>
      <c r="F70" s="80">
        <f>IF(OR(B78="1",B78="y",B78="Y",B78="yes",B78="YES",B78="Yes",B78="true",B78="TRUE",B78="True"),ROUND(F68-F69,0),F68-F69)</f>
        <v>0</v>
      </c>
      <c r="G70" s="31"/>
      <c r="H70" s="32" t="s">
        <v>51</v>
      </c>
      <c r="I70" s="6"/>
      <c r="J70" s="27">
        <v>0</v>
      </c>
      <c r="K70" s="24"/>
      <c r="L70" s="25" t="s">
        <v>94</v>
      </c>
      <c r="M70" s="6"/>
      <c r="N70" s="4"/>
      <c r="O70" s="6"/>
      <c r="P70" s="7"/>
      <c r="Q70" s="4"/>
      <c r="R70" s="6"/>
      <c r="S70" s="7"/>
    </row>
    <row r="71" spans="2:19" ht="13.5" thickBot="1" x14ac:dyDescent="0.25">
      <c r="B71" s="69"/>
      <c r="C71" s="70"/>
      <c r="D71" s="69"/>
      <c r="E71" s="71"/>
      <c r="F71" s="69"/>
      <c r="G71" s="70"/>
      <c r="H71" s="69"/>
      <c r="I71" s="6"/>
      <c r="J71" s="27">
        <v>0</v>
      </c>
      <c r="K71" s="24"/>
      <c r="L71" s="25" t="s">
        <v>95</v>
      </c>
      <c r="M71" s="6"/>
      <c r="N71" s="4"/>
      <c r="O71" s="6"/>
      <c r="P71" s="7"/>
      <c r="Q71" s="4"/>
      <c r="R71" s="6"/>
      <c r="S71" s="7"/>
    </row>
    <row r="72" spans="2:19" ht="13.5" thickTop="1" x14ac:dyDescent="0.2">
      <c r="I72" s="6"/>
      <c r="J72" s="27">
        <v>0</v>
      </c>
      <c r="K72" s="24"/>
      <c r="L72" s="25" t="s">
        <v>96</v>
      </c>
      <c r="M72" s="6"/>
      <c r="N72" s="4"/>
      <c r="O72" s="6"/>
      <c r="P72" s="7"/>
    </row>
    <row r="73" spans="2:19" ht="13.5" thickBot="1" x14ac:dyDescent="0.25">
      <c r="B73" s="8" t="s">
        <v>56</v>
      </c>
      <c r="C73" s="6"/>
      <c r="D73" s="7"/>
      <c r="E73" s="6"/>
      <c r="F73" s="8" t="s">
        <v>48</v>
      </c>
      <c r="G73" s="6"/>
      <c r="H73" s="7"/>
      <c r="I73" s="6"/>
      <c r="J73" s="27">
        <v>0</v>
      </c>
      <c r="K73" s="24"/>
      <c r="L73" s="25" t="s">
        <v>98</v>
      </c>
      <c r="M73" s="6"/>
      <c r="N73" s="4"/>
      <c r="O73" s="6"/>
      <c r="P73" s="7"/>
    </row>
    <row r="74" spans="2:19" x14ac:dyDescent="0.2">
      <c r="B74" s="68">
        <v>2</v>
      </c>
      <c r="C74" s="21"/>
      <c r="D74" s="22" t="s">
        <v>9</v>
      </c>
      <c r="E74" s="6"/>
      <c r="F74" s="55" t="s">
        <v>113</v>
      </c>
      <c r="G74" s="21"/>
      <c r="H74" s="22" t="s">
        <v>114</v>
      </c>
      <c r="I74" s="6"/>
      <c r="J74" s="27">
        <v>0</v>
      </c>
      <c r="K74" s="24"/>
      <c r="L74" s="25" t="s">
        <v>99</v>
      </c>
      <c r="M74" s="6"/>
      <c r="N74" s="4"/>
      <c r="O74" s="6"/>
      <c r="P74" s="7"/>
    </row>
    <row r="75" spans="2:19" x14ac:dyDescent="0.2">
      <c r="B75" s="72">
        <v>0</v>
      </c>
      <c r="C75" s="24"/>
      <c r="D75" s="25" t="s">
        <v>242</v>
      </c>
      <c r="E75" s="6"/>
      <c r="F75" s="56"/>
      <c r="G75" s="24"/>
      <c r="H75" s="25" t="s">
        <v>115</v>
      </c>
      <c r="I75" s="6"/>
      <c r="J75" s="27">
        <v>0</v>
      </c>
      <c r="K75" s="24"/>
      <c r="L75" s="25" t="s">
        <v>102</v>
      </c>
      <c r="M75" s="6"/>
      <c r="N75" s="4"/>
      <c r="O75" s="6"/>
      <c r="P75" s="7"/>
    </row>
    <row r="76" spans="2:19" x14ac:dyDescent="0.2">
      <c r="B76" s="72">
        <v>0</v>
      </c>
      <c r="C76" s="24"/>
      <c r="D76" s="25" t="s">
        <v>241</v>
      </c>
      <c r="E76" s="6"/>
      <c r="F76" s="57"/>
      <c r="G76" s="24"/>
      <c r="H76" s="25" t="s">
        <v>116</v>
      </c>
      <c r="I76" s="6"/>
      <c r="J76" s="27">
        <v>0</v>
      </c>
      <c r="K76" s="24"/>
      <c r="L76" s="25" t="s">
        <v>103</v>
      </c>
      <c r="M76" s="6"/>
      <c r="N76" s="4"/>
      <c r="O76" s="6"/>
      <c r="P76" s="7"/>
    </row>
    <row r="77" spans="2:19" x14ac:dyDescent="0.2">
      <c r="B77" s="75" t="s">
        <v>158</v>
      </c>
      <c r="C77" s="14"/>
      <c r="D77" s="25" t="s">
        <v>157</v>
      </c>
      <c r="E77" s="6"/>
      <c r="F77" s="58"/>
      <c r="G77" s="24"/>
      <c r="H77" s="25" t="s">
        <v>117</v>
      </c>
      <c r="I77" s="6"/>
      <c r="J77" s="23"/>
      <c r="K77" s="24"/>
      <c r="L77" s="29"/>
      <c r="M77" s="6"/>
      <c r="N77" s="4"/>
      <c r="O77" s="6"/>
      <c r="P77" s="7"/>
    </row>
    <row r="78" spans="2:19" ht="13.5" thickBot="1" x14ac:dyDescent="0.25">
      <c r="B78" s="75" t="s">
        <v>158</v>
      </c>
      <c r="C78" s="14"/>
      <c r="D78" s="25" t="s">
        <v>16</v>
      </c>
      <c r="E78" s="6"/>
      <c r="F78" s="59"/>
      <c r="G78" s="24"/>
      <c r="H78" s="25" t="s">
        <v>75</v>
      </c>
      <c r="I78" s="6"/>
      <c r="J78" s="49">
        <f>SUM(J65:J76)</f>
        <v>0</v>
      </c>
      <c r="K78" s="31"/>
      <c r="L78" s="32" t="s">
        <v>104</v>
      </c>
      <c r="M78" s="1"/>
      <c r="N78" s="3"/>
      <c r="O78" s="1"/>
      <c r="P78" s="2"/>
    </row>
    <row r="79" spans="2:19" x14ac:dyDescent="0.2">
      <c r="B79" s="77">
        <f>B74-2</f>
        <v>0</v>
      </c>
      <c r="C79" s="24"/>
      <c r="D79" s="25" t="s">
        <v>135</v>
      </c>
      <c r="E79" s="6"/>
      <c r="F79" s="60" t="s">
        <v>118</v>
      </c>
      <c r="G79" s="24"/>
      <c r="H79" s="25" t="s">
        <v>119</v>
      </c>
      <c r="I79" s="6"/>
      <c r="J79" s="3"/>
      <c r="K79" s="1"/>
      <c r="L79" s="2"/>
      <c r="M79" s="1"/>
      <c r="N79" s="3"/>
      <c r="O79" s="1"/>
      <c r="P79" s="2"/>
    </row>
    <row r="80" spans="2:19" x14ac:dyDescent="0.2">
      <c r="B80" s="75" t="s">
        <v>156</v>
      </c>
      <c r="C80" s="14"/>
      <c r="D80" s="25" t="s">
        <v>224</v>
      </c>
      <c r="E80" s="6"/>
      <c r="F80" s="61" t="s">
        <v>120</v>
      </c>
      <c r="G80" s="24"/>
      <c r="H80" s="25" t="s">
        <v>121</v>
      </c>
      <c r="I80" s="6"/>
      <c r="J80" s="3"/>
      <c r="K80" s="1"/>
      <c r="L80" s="2"/>
      <c r="M80" s="1"/>
      <c r="N80" s="3"/>
      <c r="O80" s="1"/>
      <c r="P80" s="2"/>
    </row>
    <row r="81" spans="2:16" x14ac:dyDescent="0.2">
      <c r="B81" s="75" t="s">
        <v>156</v>
      </c>
      <c r="C81" s="14"/>
      <c r="D81" s="90" t="s">
        <v>229</v>
      </c>
      <c r="E81" s="6"/>
      <c r="F81" s="62" t="s">
        <v>122</v>
      </c>
      <c r="G81" s="24"/>
      <c r="H81" s="25" t="s">
        <v>123</v>
      </c>
      <c r="I81" s="6"/>
      <c r="J81" s="3"/>
      <c r="K81" s="1"/>
      <c r="L81" s="2"/>
      <c r="M81" s="1"/>
      <c r="N81" s="3"/>
      <c r="O81" s="1"/>
      <c r="P81" s="2"/>
    </row>
    <row r="82" spans="2:16" x14ac:dyDescent="0.2">
      <c r="B82" s="67">
        <v>0.1</v>
      </c>
      <c r="C82" s="24"/>
      <c r="D82" s="25" t="s">
        <v>70</v>
      </c>
      <c r="E82" s="6"/>
      <c r="F82" s="63" t="s">
        <v>124</v>
      </c>
      <c r="G82" s="24"/>
      <c r="H82" s="25" t="s">
        <v>125</v>
      </c>
      <c r="I82" s="6"/>
      <c r="J82" s="3"/>
      <c r="K82" s="1"/>
      <c r="L82" s="2"/>
      <c r="M82" s="1"/>
      <c r="N82" s="3"/>
      <c r="O82" s="1"/>
      <c r="P82" s="2"/>
    </row>
    <row r="83" spans="2:16" x14ac:dyDescent="0.2">
      <c r="B83" s="23">
        <v>24800</v>
      </c>
      <c r="C83" s="24"/>
      <c r="D83" s="25" t="s">
        <v>187</v>
      </c>
      <c r="E83" s="6"/>
      <c r="F83" s="23">
        <v>0</v>
      </c>
      <c r="G83" s="24"/>
      <c r="H83" s="25" t="s">
        <v>126</v>
      </c>
      <c r="I83" s="6"/>
      <c r="J83" s="3"/>
      <c r="K83" s="1"/>
      <c r="L83" s="2"/>
      <c r="M83" s="1"/>
      <c r="N83" s="3"/>
      <c r="O83" s="1"/>
      <c r="P83" s="2"/>
    </row>
    <row r="84" spans="2:16" x14ac:dyDescent="0.2">
      <c r="B84" s="23">
        <v>2480</v>
      </c>
      <c r="C84" s="24"/>
      <c r="D84" s="25" t="s">
        <v>188</v>
      </c>
      <c r="E84" s="6"/>
      <c r="F84" s="23">
        <v>123.45</v>
      </c>
      <c r="G84" s="24"/>
      <c r="H84" s="25" t="s">
        <v>127</v>
      </c>
      <c r="I84" s="6"/>
      <c r="J84" s="3"/>
      <c r="K84" s="1"/>
      <c r="L84" s="2"/>
      <c r="M84" s="1"/>
      <c r="N84" s="3"/>
      <c r="O84" s="1"/>
      <c r="P84" s="2"/>
    </row>
    <row r="85" spans="2:16" x14ac:dyDescent="0.2">
      <c r="B85" s="67">
        <v>0.12</v>
      </c>
      <c r="C85" s="24"/>
      <c r="D85" s="25" t="s">
        <v>189</v>
      </c>
      <c r="E85" s="6"/>
      <c r="F85" s="23">
        <v>-123.45</v>
      </c>
      <c r="G85" s="24"/>
      <c r="H85" s="25" t="s">
        <v>128</v>
      </c>
      <c r="I85" s="6"/>
      <c r="J85" s="4"/>
      <c r="K85" s="6"/>
      <c r="L85" s="11"/>
      <c r="M85" s="6"/>
      <c r="N85" s="4"/>
      <c r="O85" s="6"/>
      <c r="P85" s="7"/>
    </row>
    <row r="86" spans="2:16" ht="13.5" thickBot="1" x14ac:dyDescent="0.25">
      <c r="B86" s="23">
        <v>100800</v>
      </c>
      <c r="C86" s="24"/>
      <c r="D86" s="25" t="s">
        <v>190</v>
      </c>
      <c r="E86" s="6"/>
      <c r="F86" s="64">
        <v>2.9000000000000001E-2</v>
      </c>
      <c r="G86" s="31"/>
      <c r="H86" s="32" t="s">
        <v>129</v>
      </c>
      <c r="I86" s="6"/>
      <c r="J86" s="4"/>
      <c r="K86" s="6"/>
      <c r="L86" s="7"/>
      <c r="M86" s="6"/>
      <c r="N86" s="4"/>
      <c r="O86" s="6"/>
      <c r="P86" s="7"/>
    </row>
    <row r="87" spans="2:16" x14ac:dyDescent="0.2">
      <c r="B87" s="23">
        <v>11600</v>
      </c>
      <c r="C87" s="24"/>
      <c r="D87" s="25" t="s">
        <v>191</v>
      </c>
      <c r="E87" s="6"/>
      <c r="F87"/>
      <c r="G87"/>
      <c r="H87"/>
      <c r="I87" s="6"/>
      <c r="J87" s="4"/>
      <c r="K87" s="6"/>
      <c r="L87" s="7"/>
      <c r="M87" s="6"/>
      <c r="N87" s="4"/>
      <c r="O87" s="6"/>
      <c r="P87" s="7"/>
    </row>
    <row r="88" spans="2:16" x14ac:dyDescent="0.2">
      <c r="B88" s="67">
        <v>0.22</v>
      </c>
      <c r="C88" s="24"/>
      <c r="D88" s="25" t="s">
        <v>192</v>
      </c>
      <c r="E88" s="6"/>
      <c r="F88"/>
      <c r="G88"/>
      <c r="H88"/>
      <c r="I88" s="6"/>
      <c r="J88" s="4"/>
      <c r="K88" s="6"/>
      <c r="L88" s="7"/>
      <c r="M88" s="6"/>
      <c r="N88" s="4"/>
      <c r="O88" s="6"/>
      <c r="P88" s="7"/>
    </row>
    <row r="89" spans="2:16" x14ac:dyDescent="0.2">
      <c r="B89" s="23">
        <v>211400</v>
      </c>
      <c r="C89" s="24"/>
      <c r="D89" s="25" t="s">
        <v>193</v>
      </c>
      <c r="E89" s="6"/>
      <c r="F89"/>
      <c r="G89"/>
      <c r="H89"/>
      <c r="I89" s="6"/>
      <c r="J89" s="4"/>
      <c r="K89" s="6"/>
      <c r="L89" s="7"/>
      <c r="M89" s="6"/>
      <c r="N89" s="4"/>
      <c r="O89" s="6"/>
      <c r="P89" s="7"/>
    </row>
    <row r="90" spans="2:16" x14ac:dyDescent="0.2">
      <c r="B90" s="23">
        <v>35932</v>
      </c>
      <c r="C90" s="24"/>
      <c r="D90" s="25" t="s">
        <v>194</v>
      </c>
      <c r="E90" s="6"/>
      <c r="F90"/>
      <c r="G90"/>
      <c r="H90"/>
      <c r="I90" s="6"/>
      <c r="J90" s="4"/>
      <c r="K90" s="6"/>
      <c r="L90" s="7"/>
      <c r="M90" s="6"/>
      <c r="N90" s="4"/>
      <c r="O90" s="6"/>
      <c r="P90" s="7"/>
    </row>
    <row r="91" spans="2:16" x14ac:dyDescent="0.2">
      <c r="B91" s="67">
        <v>0.24</v>
      </c>
      <c r="C91" s="24"/>
      <c r="D91" s="25" t="s">
        <v>195</v>
      </c>
      <c r="E91" s="6"/>
      <c r="F91"/>
      <c r="G91"/>
      <c r="H91"/>
      <c r="I91" s="6"/>
      <c r="J91" s="4"/>
      <c r="K91" s="6"/>
      <c r="L91" s="7"/>
      <c r="M91" s="1"/>
      <c r="N91" s="3"/>
      <c r="O91" s="1"/>
      <c r="P91" s="2"/>
    </row>
    <row r="92" spans="2:16" x14ac:dyDescent="0.2">
      <c r="B92" s="23">
        <v>403550</v>
      </c>
      <c r="C92" s="24"/>
      <c r="D92" s="25" t="s">
        <v>196</v>
      </c>
      <c r="E92" s="6"/>
      <c r="F92"/>
      <c r="G92"/>
      <c r="H92"/>
      <c r="I92" s="6"/>
      <c r="J92" s="4"/>
      <c r="K92" s="6"/>
      <c r="L92" s="7"/>
      <c r="M92" s="1"/>
      <c r="N92" s="3"/>
      <c r="O92" s="1"/>
      <c r="P92" s="2"/>
    </row>
    <row r="93" spans="2:16" x14ac:dyDescent="0.2">
      <c r="B93" s="23">
        <v>82048</v>
      </c>
      <c r="C93" s="24"/>
      <c r="D93" s="25" t="s">
        <v>197</v>
      </c>
      <c r="E93" s="6"/>
      <c r="F93"/>
      <c r="G93"/>
      <c r="H93"/>
      <c r="I93" s="6"/>
      <c r="J93" s="4"/>
      <c r="K93" s="6"/>
      <c r="L93" s="7"/>
      <c r="M93" s="1"/>
      <c r="N93" s="3"/>
      <c r="O93" s="1"/>
      <c r="P93" s="2"/>
    </row>
    <row r="94" spans="2:16" x14ac:dyDescent="0.2">
      <c r="B94" s="67">
        <v>0.32</v>
      </c>
      <c r="C94" s="24"/>
      <c r="D94" s="25" t="s">
        <v>198</v>
      </c>
      <c r="E94" s="6"/>
      <c r="F94"/>
      <c r="G94"/>
      <c r="H94"/>
      <c r="I94" s="6"/>
      <c r="J94" s="4"/>
      <c r="K94" s="6"/>
      <c r="L94" s="7"/>
      <c r="M94" s="1"/>
      <c r="N94" s="3"/>
      <c r="O94" s="1"/>
      <c r="P94" s="2"/>
    </row>
    <row r="95" spans="2:16" x14ac:dyDescent="0.2">
      <c r="B95" s="23">
        <v>512450</v>
      </c>
      <c r="C95" s="24"/>
      <c r="D95" s="25" t="s">
        <v>14</v>
      </c>
      <c r="E95" s="6"/>
      <c r="F95"/>
      <c r="G95"/>
      <c r="H95"/>
      <c r="I95" s="1"/>
      <c r="J95" s="3"/>
      <c r="K95" s="1"/>
      <c r="L95" s="2"/>
      <c r="M95" s="1"/>
      <c r="N95" s="3"/>
      <c r="O95" s="1"/>
      <c r="P95" s="2"/>
    </row>
    <row r="96" spans="2:16" x14ac:dyDescent="0.2">
      <c r="B96" s="23">
        <v>116896</v>
      </c>
      <c r="C96" s="24"/>
      <c r="D96" s="25" t="s">
        <v>68</v>
      </c>
      <c r="E96" s="6"/>
      <c r="F96"/>
      <c r="G96"/>
      <c r="H96"/>
      <c r="I96" s="1"/>
      <c r="J96" s="3"/>
      <c r="K96" s="1"/>
      <c r="L96" s="2"/>
      <c r="M96" s="1"/>
      <c r="N96" s="3"/>
      <c r="O96" s="1"/>
      <c r="P96" s="2"/>
    </row>
    <row r="97" spans="2:16" x14ac:dyDescent="0.2">
      <c r="B97" s="67">
        <v>0.35</v>
      </c>
      <c r="C97" s="24"/>
      <c r="D97" s="25" t="s">
        <v>69</v>
      </c>
      <c r="E97" s="6"/>
      <c r="F97"/>
      <c r="G97"/>
      <c r="H97"/>
      <c r="I97" s="1"/>
      <c r="J97" s="3"/>
      <c r="K97" s="1"/>
      <c r="L97" s="2"/>
      <c r="M97" s="1"/>
      <c r="N97" s="3"/>
      <c r="O97" s="1"/>
      <c r="P97" s="2"/>
    </row>
    <row r="98" spans="2:16" x14ac:dyDescent="0.2">
      <c r="B98" s="23">
        <v>768700</v>
      </c>
      <c r="C98" s="24"/>
      <c r="D98" s="25" t="s">
        <v>199</v>
      </c>
      <c r="E98" s="6"/>
      <c r="F98"/>
      <c r="G98"/>
      <c r="H98"/>
      <c r="I98" s="1"/>
      <c r="J98" s="3"/>
      <c r="K98" s="1"/>
      <c r="L98" s="2"/>
      <c r="M98" s="1"/>
      <c r="N98" s="3"/>
      <c r="O98" s="1"/>
      <c r="P98" s="2"/>
    </row>
    <row r="99" spans="2:16" x14ac:dyDescent="0.2">
      <c r="B99" s="23">
        <v>202583.5</v>
      </c>
      <c r="C99" s="24"/>
      <c r="D99" s="25" t="s">
        <v>200</v>
      </c>
      <c r="E99" s="6"/>
      <c r="F99"/>
      <c r="G99"/>
      <c r="H99"/>
      <c r="I99" s="1"/>
      <c r="J99" s="3"/>
      <c r="K99" s="1"/>
      <c r="L99" s="2"/>
      <c r="M99" s="1"/>
      <c r="N99" s="3"/>
      <c r="O99" s="1"/>
      <c r="P99" s="2"/>
    </row>
    <row r="100" spans="2:16" x14ac:dyDescent="0.2">
      <c r="B100" s="67">
        <v>0.37</v>
      </c>
      <c r="C100" s="24"/>
      <c r="D100" s="25" t="s">
        <v>201</v>
      </c>
      <c r="E100" s="6"/>
      <c r="F100"/>
      <c r="G100"/>
      <c r="H100"/>
      <c r="I100" s="1"/>
      <c r="J100" s="3"/>
      <c r="K100" s="1"/>
      <c r="L100" s="2"/>
      <c r="M100" s="1"/>
      <c r="N100" s="3"/>
      <c r="O100" s="1"/>
      <c r="P100" s="2"/>
    </row>
    <row r="101" spans="2:16" x14ac:dyDescent="0.2">
      <c r="B101" s="67">
        <v>0</v>
      </c>
      <c r="C101" s="15"/>
      <c r="D101" s="25" t="s">
        <v>8</v>
      </c>
      <c r="E101" s="6"/>
      <c r="F101" s="4"/>
      <c r="G101" s="6"/>
      <c r="H101" s="7"/>
      <c r="I101" s="1"/>
      <c r="J101" s="3"/>
      <c r="K101" s="1"/>
      <c r="L101" s="2"/>
      <c r="M101" s="1"/>
      <c r="N101" s="3"/>
      <c r="O101" s="1"/>
      <c r="P101" s="2"/>
    </row>
    <row r="102" spans="2:16" x14ac:dyDescent="0.2">
      <c r="B102" s="23">
        <v>98900</v>
      </c>
      <c r="C102" s="15"/>
      <c r="D102" s="25" t="s">
        <v>205</v>
      </c>
      <c r="E102" s="6"/>
      <c r="F102" s="4"/>
      <c r="G102" s="6"/>
      <c r="H102" s="7"/>
      <c r="I102" s="1"/>
      <c r="J102" s="3"/>
      <c r="K102" s="1"/>
      <c r="L102" s="2"/>
      <c r="M102" s="1"/>
      <c r="N102" s="3"/>
      <c r="O102" s="1"/>
      <c r="P102" s="2"/>
    </row>
    <row r="103" spans="2:16" x14ac:dyDescent="0.2">
      <c r="B103" s="67">
        <v>0.15</v>
      </c>
      <c r="C103" s="15"/>
      <c r="D103" s="25" t="s">
        <v>206</v>
      </c>
      <c r="E103" s="6"/>
      <c r="F103" s="4"/>
      <c r="G103" s="6"/>
      <c r="H103" s="7"/>
      <c r="I103" s="1"/>
      <c r="J103" s="3"/>
      <c r="K103" s="1"/>
      <c r="L103" s="2"/>
      <c r="M103" s="1"/>
      <c r="N103" s="3"/>
      <c r="O103" s="1"/>
      <c r="P103" s="2"/>
    </row>
    <row r="104" spans="2:16" x14ac:dyDescent="0.2">
      <c r="B104" s="23">
        <v>613700</v>
      </c>
      <c r="C104" s="15"/>
      <c r="D104" s="25" t="s">
        <v>207</v>
      </c>
      <c r="E104" s="6"/>
      <c r="F104" s="4"/>
      <c r="G104" s="6"/>
      <c r="H104" s="7"/>
      <c r="I104" s="1"/>
      <c r="J104" s="3"/>
      <c r="K104" s="1"/>
      <c r="L104" s="2"/>
      <c r="M104" s="1"/>
      <c r="N104" s="3"/>
      <c r="O104" s="1"/>
      <c r="P104" s="2"/>
    </row>
    <row r="105" spans="2:16" x14ac:dyDescent="0.2">
      <c r="B105" s="67">
        <v>0.2</v>
      </c>
      <c r="C105" s="15"/>
      <c r="D105" s="25" t="s">
        <v>208</v>
      </c>
      <c r="E105" s="6"/>
      <c r="F105" s="4"/>
      <c r="G105" s="6"/>
      <c r="H105" s="7"/>
      <c r="I105" s="1"/>
      <c r="J105" s="3"/>
      <c r="K105" s="1"/>
      <c r="L105" s="2"/>
      <c r="M105" s="1"/>
      <c r="N105" s="3"/>
      <c r="O105" s="1"/>
      <c r="P105" s="2"/>
    </row>
    <row r="106" spans="2:16" x14ac:dyDescent="0.2">
      <c r="B106" s="67">
        <v>0.15</v>
      </c>
      <c r="C106" s="24"/>
      <c r="D106" s="25" t="s">
        <v>209</v>
      </c>
      <c r="E106" s="1"/>
      <c r="F106" s="3"/>
      <c r="G106" s="1"/>
      <c r="H106" s="2"/>
      <c r="I106" s="1"/>
      <c r="J106" s="3"/>
      <c r="K106" s="1"/>
      <c r="L106" s="2"/>
      <c r="M106" s="1"/>
      <c r="N106" s="3"/>
      <c r="O106" s="1"/>
      <c r="P106" s="2"/>
    </row>
    <row r="107" spans="2:16" x14ac:dyDescent="0.2">
      <c r="B107" s="67">
        <v>0.15</v>
      </c>
      <c r="C107" s="24"/>
      <c r="D107" s="25" t="s">
        <v>210</v>
      </c>
      <c r="E107" s="1"/>
      <c r="F107" s="3"/>
      <c r="G107" s="1"/>
      <c r="H107" s="2"/>
    </row>
    <row r="108" spans="2:16" x14ac:dyDescent="0.2">
      <c r="B108" s="67">
        <v>0.2</v>
      </c>
      <c r="C108" s="24"/>
      <c r="D108" s="25" t="s">
        <v>211</v>
      </c>
      <c r="E108" s="1"/>
      <c r="F108" s="3"/>
      <c r="G108" s="1"/>
      <c r="H108" s="2"/>
    </row>
    <row r="109" spans="2:16" x14ac:dyDescent="0.2">
      <c r="B109" s="23">
        <v>450000</v>
      </c>
      <c r="C109" s="24"/>
      <c r="D109" s="25" t="s">
        <v>212</v>
      </c>
      <c r="E109" s="1"/>
      <c r="F109" s="3"/>
      <c r="G109" s="1"/>
      <c r="H109" s="2"/>
    </row>
    <row r="110" spans="2:16" x14ac:dyDescent="0.2">
      <c r="B110" s="67">
        <v>3.7999999999999999E-2</v>
      </c>
      <c r="C110" s="14"/>
      <c r="D110" s="25" t="s">
        <v>179</v>
      </c>
      <c r="E110" s="1"/>
      <c r="F110" s="3"/>
      <c r="G110" s="1"/>
      <c r="H110" s="2"/>
    </row>
    <row r="111" spans="2:16" x14ac:dyDescent="0.2">
      <c r="B111" s="23">
        <v>250000</v>
      </c>
      <c r="C111" s="24"/>
      <c r="D111" s="25" t="s">
        <v>84</v>
      </c>
      <c r="E111" s="1"/>
      <c r="F111" s="3"/>
      <c r="G111" s="1"/>
      <c r="H111" s="2"/>
    </row>
    <row r="112" spans="2:16" x14ac:dyDescent="0.2">
      <c r="B112" s="23">
        <v>32200</v>
      </c>
      <c r="C112" s="24"/>
      <c r="D112" s="25" t="s">
        <v>130</v>
      </c>
      <c r="E112" s="1"/>
      <c r="F112" s="3"/>
      <c r="G112" s="1"/>
      <c r="H112" s="2"/>
    </row>
    <row r="113" spans="2:8" x14ac:dyDescent="0.2">
      <c r="B113" s="23">
        <v>1650</v>
      </c>
      <c r="C113" s="24"/>
      <c r="D113" s="25" t="s">
        <v>154</v>
      </c>
      <c r="E113" s="1"/>
      <c r="F113" s="3"/>
      <c r="G113" s="1"/>
      <c r="H113" s="2"/>
    </row>
    <row r="114" spans="2:8" x14ac:dyDescent="0.2">
      <c r="B114" s="23">
        <f>0*4050</f>
        <v>0</v>
      </c>
      <c r="C114" s="24"/>
      <c r="D114" s="25" t="s">
        <v>131</v>
      </c>
      <c r="E114" s="1"/>
      <c r="F114" s="3"/>
      <c r="G114" s="1"/>
      <c r="H114" s="2"/>
    </row>
    <row r="115" spans="2:8" x14ac:dyDescent="0.2">
      <c r="B115" s="23">
        <v>2500</v>
      </c>
      <c r="C115" s="24"/>
      <c r="D115" s="25" t="s">
        <v>132</v>
      </c>
      <c r="E115" s="1"/>
      <c r="F115" s="3"/>
      <c r="G115" s="1"/>
      <c r="H115" s="2"/>
    </row>
    <row r="116" spans="2:8" x14ac:dyDescent="0.2">
      <c r="B116" s="23">
        <v>320000</v>
      </c>
      <c r="C116" s="24"/>
      <c r="D116" s="25" t="s">
        <v>10</v>
      </c>
      <c r="E116" s="1"/>
      <c r="F116" s="3"/>
      <c r="G116" s="1"/>
      <c r="H116" s="2"/>
    </row>
    <row r="117" spans="2:8" x14ac:dyDescent="0.2">
      <c r="B117" s="67">
        <f>2%</f>
        <v>0.02</v>
      </c>
      <c r="C117" s="24"/>
      <c r="D117" s="25" t="s">
        <v>11</v>
      </c>
      <c r="E117" s="1"/>
      <c r="F117" s="3"/>
      <c r="G117" s="1"/>
      <c r="H117" s="2"/>
    </row>
    <row r="118" spans="2:8" x14ac:dyDescent="0.2">
      <c r="B118" s="23">
        <v>2200</v>
      </c>
      <c r="C118" s="24"/>
      <c r="D118" s="25" t="s">
        <v>107</v>
      </c>
    </row>
    <row r="119" spans="2:8" x14ac:dyDescent="0.2">
      <c r="B119" s="23">
        <v>400000</v>
      </c>
      <c r="C119" s="24"/>
      <c r="D119" s="25" t="s">
        <v>108</v>
      </c>
    </row>
    <row r="120" spans="2:8" x14ac:dyDescent="0.2">
      <c r="B120" s="23">
        <v>1000</v>
      </c>
      <c r="C120" s="24"/>
      <c r="D120" s="25" t="s">
        <v>109</v>
      </c>
    </row>
    <row r="121" spans="2:8" x14ac:dyDescent="0.2">
      <c r="B121" s="67">
        <v>0.05</v>
      </c>
      <c r="C121" s="24"/>
      <c r="D121" s="25" t="s">
        <v>110</v>
      </c>
    </row>
    <row r="122" spans="2:8" x14ac:dyDescent="0.2">
      <c r="B122" s="23">
        <v>320000</v>
      </c>
      <c r="C122" s="14"/>
      <c r="D122" s="25" t="s">
        <v>178</v>
      </c>
    </row>
    <row r="123" spans="2:8" x14ac:dyDescent="0.2">
      <c r="B123" s="67">
        <f>0*3%</f>
        <v>0</v>
      </c>
      <c r="C123" s="24"/>
      <c r="D123" s="25" t="s">
        <v>12</v>
      </c>
    </row>
    <row r="124" spans="2:8" x14ac:dyDescent="0.2">
      <c r="B124" s="67">
        <f>80%</f>
        <v>0.8</v>
      </c>
      <c r="C124" s="24"/>
      <c r="D124" s="25" t="s">
        <v>12</v>
      </c>
    </row>
    <row r="125" spans="2:8" x14ac:dyDescent="0.2">
      <c r="B125" s="23">
        <f>2000*0</f>
        <v>0</v>
      </c>
      <c r="C125" s="24"/>
      <c r="D125" s="25" t="s">
        <v>239</v>
      </c>
    </row>
    <row r="126" spans="2:8" x14ac:dyDescent="0.2">
      <c r="B126" s="67">
        <v>2.9000000000000001E-2</v>
      </c>
      <c r="C126" s="24"/>
      <c r="D126" s="25" t="s">
        <v>13</v>
      </c>
    </row>
    <row r="127" spans="2:8" x14ac:dyDescent="0.2">
      <c r="B127" s="67">
        <v>0.92349999999999999</v>
      </c>
      <c r="C127" s="24"/>
      <c r="D127" s="25" t="s">
        <v>18</v>
      </c>
    </row>
    <row r="128" spans="2:8" x14ac:dyDescent="0.2">
      <c r="B128" s="23">
        <v>0</v>
      </c>
      <c r="C128" s="24"/>
      <c r="D128" s="25" t="s">
        <v>19</v>
      </c>
    </row>
    <row r="129" spans="2:4" x14ac:dyDescent="0.2">
      <c r="B129" s="67">
        <f>B126/2</f>
        <v>1.4500000000000001E-2</v>
      </c>
      <c r="C129" s="14"/>
      <c r="D129" s="25" t="s">
        <v>57</v>
      </c>
    </row>
    <row r="130" spans="2:4" x14ac:dyDescent="0.2">
      <c r="B130" s="67">
        <v>8.9999999999999993E-3</v>
      </c>
      <c r="C130" s="14"/>
      <c r="D130" s="25" t="s">
        <v>85</v>
      </c>
    </row>
    <row r="131" spans="2:4" x14ac:dyDescent="0.2">
      <c r="B131" s="67">
        <v>0.124</v>
      </c>
      <c r="C131" s="24"/>
      <c r="D131" s="25" t="s">
        <v>134</v>
      </c>
    </row>
    <row r="132" spans="2:4" x14ac:dyDescent="0.2">
      <c r="B132" s="23">
        <f>B133*B131</f>
        <v>22878</v>
      </c>
      <c r="C132" s="24"/>
      <c r="D132" s="25" t="s">
        <v>20</v>
      </c>
    </row>
    <row r="133" spans="2:4" x14ac:dyDescent="0.2">
      <c r="B133" s="23">
        <v>184500</v>
      </c>
      <c r="C133" s="24"/>
      <c r="D133" s="25" t="s">
        <v>21</v>
      </c>
    </row>
    <row r="134" spans="2:4" x14ac:dyDescent="0.2">
      <c r="B134" s="23">
        <v>400</v>
      </c>
      <c r="C134" s="24"/>
      <c r="D134" s="25" t="s">
        <v>22</v>
      </c>
    </row>
    <row r="135" spans="2:4" x14ac:dyDescent="0.2">
      <c r="B135" s="67">
        <f>B131/2</f>
        <v>6.2E-2</v>
      </c>
      <c r="C135" s="14"/>
      <c r="D135" s="25" t="s">
        <v>133</v>
      </c>
    </row>
    <row r="136" spans="2:4" x14ac:dyDescent="0.2">
      <c r="B136" s="67">
        <v>1</v>
      </c>
      <c r="C136" s="24"/>
      <c r="D136" s="25" t="s">
        <v>23</v>
      </c>
    </row>
    <row r="137" spans="2:4" x14ac:dyDescent="0.2">
      <c r="B137" s="23">
        <v>3000</v>
      </c>
      <c r="C137" s="24"/>
      <c r="D137" s="25" t="s">
        <v>5</v>
      </c>
    </row>
    <row r="138" spans="2:4" x14ac:dyDescent="0.2">
      <c r="B138" s="67">
        <v>7.4999999999999997E-2</v>
      </c>
      <c r="C138" s="14"/>
      <c r="D138" s="25" t="s">
        <v>150</v>
      </c>
    </row>
    <row r="139" spans="2:4" x14ac:dyDescent="0.2">
      <c r="B139" s="67">
        <v>7.4999999999999997E-2</v>
      </c>
      <c r="C139" s="14"/>
      <c r="D139" s="25" t="s">
        <v>180</v>
      </c>
    </row>
    <row r="140" spans="2:4" x14ac:dyDescent="0.2">
      <c r="B140" s="23">
        <v>6000</v>
      </c>
      <c r="D140" s="25" t="s">
        <v>243</v>
      </c>
    </row>
    <row r="141" spans="2:4" x14ac:dyDescent="0.2">
      <c r="B141" s="67">
        <v>0.06</v>
      </c>
      <c r="D141" s="25" t="s">
        <v>244</v>
      </c>
    </row>
    <row r="142" spans="2:4" x14ac:dyDescent="0.2">
      <c r="B142" s="23">
        <v>150000</v>
      </c>
      <c r="D142" s="25" t="s">
        <v>245</v>
      </c>
    </row>
    <row r="143" spans="2:4" x14ac:dyDescent="0.2">
      <c r="B143" s="67">
        <v>0.02</v>
      </c>
      <c r="C143" s="14"/>
      <c r="D143" s="25" t="s">
        <v>151</v>
      </c>
    </row>
    <row r="144" spans="2:4" x14ac:dyDescent="0.2">
      <c r="B144" s="67">
        <v>0.6</v>
      </c>
      <c r="C144" s="14"/>
      <c r="D144" s="25" t="s">
        <v>163</v>
      </c>
    </row>
    <row r="145" spans="2:4" x14ac:dyDescent="0.2">
      <c r="B145" s="67">
        <v>5.0000000000000001E-3</v>
      </c>
      <c r="C145"/>
      <c r="D145" s="25" t="s">
        <v>254</v>
      </c>
    </row>
    <row r="146" spans="2:4" x14ac:dyDescent="0.2">
      <c r="B146" s="97">
        <f>2/37</f>
        <v>5.4054054054054057E-2</v>
      </c>
      <c r="C146"/>
      <c r="D146" s="25" t="s">
        <v>256</v>
      </c>
    </row>
    <row r="147" spans="2:4" x14ac:dyDescent="0.2">
      <c r="B147" s="23">
        <v>2000</v>
      </c>
      <c r="D147" s="25" t="s">
        <v>255</v>
      </c>
    </row>
    <row r="148" spans="2:4" x14ac:dyDescent="0.2">
      <c r="B148" s="23">
        <v>40400</v>
      </c>
      <c r="C148" s="15"/>
      <c r="D148" s="25" t="s">
        <v>202</v>
      </c>
    </row>
    <row r="149" spans="2:4" x14ac:dyDescent="0.2">
      <c r="B149" s="23">
        <v>10000</v>
      </c>
      <c r="C149" s="15"/>
      <c r="D149" s="25" t="s">
        <v>248</v>
      </c>
    </row>
    <row r="150" spans="2:4" x14ac:dyDescent="0.2">
      <c r="B150" s="67">
        <v>0.3</v>
      </c>
      <c r="C150" s="14"/>
      <c r="D150" s="25" t="s">
        <v>247</v>
      </c>
    </row>
    <row r="151" spans="2:4" x14ac:dyDescent="0.2">
      <c r="B151" s="23">
        <v>505000</v>
      </c>
      <c r="C151" s="15"/>
      <c r="D151" s="25" t="s">
        <v>246</v>
      </c>
    </row>
    <row r="152" spans="2:4" x14ac:dyDescent="0.2">
      <c r="B152" s="23">
        <v>140200</v>
      </c>
      <c r="C152" s="14"/>
      <c r="D152" s="25" t="s">
        <v>61</v>
      </c>
    </row>
    <row r="153" spans="2:4" x14ac:dyDescent="0.2">
      <c r="B153" s="23">
        <v>1000000</v>
      </c>
      <c r="C153" s="14"/>
      <c r="D153" s="25" t="s">
        <v>153</v>
      </c>
    </row>
    <row r="154" spans="2:4" x14ac:dyDescent="0.2">
      <c r="B154" s="67">
        <v>0.25</v>
      </c>
      <c r="C154" s="14"/>
      <c r="D154" s="25" t="s">
        <v>169</v>
      </c>
    </row>
    <row r="155" spans="2:4" x14ac:dyDescent="0.2">
      <c r="B155" s="67">
        <v>0.26</v>
      </c>
      <c r="C155" s="14"/>
      <c r="D155" s="25" t="s">
        <v>65</v>
      </c>
    </row>
    <row r="156" spans="2:4" x14ac:dyDescent="0.2">
      <c r="B156" s="67">
        <v>0.28000000000000003</v>
      </c>
      <c r="C156" s="14"/>
      <c r="D156" s="25" t="s">
        <v>64</v>
      </c>
    </row>
    <row r="157" spans="2:4" x14ac:dyDescent="0.2">
      <c r="B157" s="23">
        <v>244500</v>
      </c>
      <c r="C157" s="14"/>
      <c r="D157" s="25" t="s">
        <v>66</v>
      </c>
    </row>
    <row r="158" spans="2:4" x14ac:dyDescent="0.2">
      <c r="B158" s="23">
        <f>B157*(B156-B155)</f>
        <v>4890.0000000000045</v>
      </c>
      <c r="C158" s="14"/>
      <c r="D158" s="25" t="s">
        <v>67</v>
      </c>
    </row>
    <row r="159" spans="2:4" x14ac:dyDescent="0.2">
      <c r="B159" s="67">
        <v>2.5000000000000001E-2</v>
      </c>
      <c r="C159" s="14"/>
      <c r="D159" s="25" t="s">
        <v>167</v>
      </c>
    </row>
    <row r="160" spans="2:4" x14ac:dyDescent="0.2">
      <c r="B160" s="23">
        <v>0</v>
      </c>
      <c r="C160" s="14"/>
      <c r="D160" s="25" t="s">
        <v>155</v>
      </c>
    </row>
    <row r="161" spans="2:4" x14ac:dyDescent="0.2">
      <c r="B161" s="23">
        <v>403500</v>
      </c>
      <c r="C161" s="24"/>
      <c r="D161" s="90" t="s">
        <v>230</v>
      </c>
    </row>
    <row r="162" spans="2:4" x14ac:dyDescent="0.2">
      <c r="B162" s="23">
        <v>150000</v>
      </c>
      <c r="C162" s="24"/>
      <c r="D162" s="90" t="s">
        <v>231</v>
      </c>
    </row>
    <row r="163" spans="2:4" x14ac:dyDescent="0.2">
      <c r="B163" s="67">
        <v>0.2</v>
      </c>
      <c r="C163" s="24"/>
      <c r="D163" s="90" t="s">
        <v>232</v>
      </c>
    </row>
    <row r="164" spans="2:4" x14ac:dyDescent="0.2">
      <c r="B164" s="67">
        <v>1</v>
      </c>
      <c r="C164" s="9"/>
      <c r="D164" s="25" t="s">
        <v>233</v>
      </c>
    </row>
    <row r="165" spans="2:4" x14ac:dyDescent="0.2">
      <c r="B165" s="23">
        <v>1000</v>
      </c>
      <c r="C165"/>
      <c r="D165" s="25" t="s">
        <v>257</v>
      </c>
    </row>
    <row r="166" spans="2:4" ht="13.5" thickBot="1" x14ac:dyDescent="0.25">
      <c r="B166" s="73">
        <v>400</v>
      </c>
      <c r="C166" s="98"/>
      <c r="D166" s="32" t="s">
        <v>258</v>
      </c>
    </row>
    <row r="168" spans="2:4" ht="13.5" thickBot="1" x14ac:dyDescent="0.25">
      <c r="B168" s="78" t="s">
        <v>182</v>
      </c>
      <c r="C168" s="15"/>
    </row>
    <row r="169" spans="2:4" x14ac:dyDescent="0.2">
      <c r="B169" s="84">
        <v>0</v>
      </c>
      <c r="C169" s="85">
        <f>B82</f>
        <v>0.1</v>
      </c>
    </row>
    <row r="170" spans="2:4" x14ac:dyDescent="0.2">
      <c r="B170" s="23">
        <f>B83</f>
        <v>24800</v>
      </c>
      <c r="C170" s="86">
        <f>B85</f>
        <v>0.12</v>
      </c>
    </row>
    <row r="171" spans="2:4" x14ac:dyDescent="0.2">
      <c r="B171" s="23">
        <f>B86</f>
        <v>100800</v>
      </c>
      <c r="C171" s="86">
        <f>B88</f>
        <v>0.22</v>
      </c>
    </row>
    <row r="172" spans="2:4" x14ac:dyDescent="0.2">
      <c r="B172" s="23">
        <f>B89</f>
        <v>211400</v>
      </c>
      <c r="C172" s="86">
        <f>B91</f>
        <v>0.24</v>
      </c>
    </row>
    <row r="173" spans="2:4" x14ac:dyDescent="0.2">
      <c r="B173" s="23">
        <f>B92</f>
        <v>403550</v>
      </c>
      <c r="C173" s="86">
        <f>B94</f>
        <v>0.32</v>
      </c>
    </row>
    <row r="174" spans="2:4" x14ac:dyDescent="0.2">
      <c r="B174" s="23">
        <f>B95</f>
        <v>512450</v>
      </c>
      <c r="C174" s="86">
        <f>B97</f>
        <v>0.35</v>
      </c>
    </row>
    <row r="175" spans="2:4" ht="13.5" thickBot="1" x14ac:dyDescent="0.25">
      <c r="B175" s="73">
        <f>B98</f>
        <v>768700</v>
      </c>
      <c r="C175" s="87">
        <f>B100</f>
        <v>0.37</v>
      </c>
    </row>
  </sheetData>
  <sheetProtection algorithmName="SHA-512" hashValue="jiGYbqyD4IT/76R0QdE2ka0wQO9G8apR34bglxF76GQ1AV2jv/FjODTrKzpK05F96Z4fuKlVIMUYdbC8Ru2oAA==" saltValue="TbStQ0NsVpF+ZjgdHlwzxw==" spinCount="100000" sheet="1"/>
  <phoneticPr fontId="0" type="noConversion"/>
  <pageMargins left="0.75" right="0.75" top="1" bottom="1" header="0.5" footer="0.5"/>
  <pageSetup orientation="portrait" blackAndWhite="1" horizontalDpi="360" verticalDpi="360"/>
  <headerFooter alignWithMargins="0">
    <oddHeader>Federal Tax Planner</oddHeader>
  </headerFooter>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A005BC-11FE-42F7-918F-FAA3B3286266}">
  <dimension ref="A1:Y175"/>
  <sheetViews>
    <sheetView showGridLines="0" workbookViewId="0">
      <selection activeCell="B24" sqref="B24"/>
    </sheetView>
  </sheetViews>
  <sheetFormatPr defaultColWidth="8.85546875" defaultRowHeight="12.75" x14ac:dyDescent="0.2"/>
  <cols>
    <col min="1" max="1" width="9.140625" style="3" customWidth="1"/>
    <col min="2" max="2" width="15.7109375" style="1" customWidth="1"/>
    <col min="3" max="3" width="2.42578125" style="2" customWidth="1"/>
    <col min="4" max="4" width="26.42578125" style="1" customWidth="1"/>
    <col min="5" max="5" width="9.140625" style="3" customWidth="1"/>
    <col min="6" max="6" width="15.7109375" style="1" customWidth="1"/>
    <col min="7" max="7" width="2.42578125" style="2" customWidth="1"/>
    <col min="8" max="8" width="27.140625" style="1" customWidth="1"/>
    <col min="9" max="9" width="9.140625" style="3" customWidth="1"/>
    <col min="10" max="10" width="15.7109375" style="1" customWidth="1"/>
    <col min="11" max="11" width="2.42578125" style="2" customWidth="1"/>
    <col min="12" max="12" width="21.7109375" style="1" customWidth="1"/>
    <col min="13" max="13" width="9.140625" style="3" customWidth="1"/>
    <col min="14" max="14" width="15.7109375" style="1" customWidth="1"/>
    <col min="15" max="15" width="2.42578125" style="2" customWidth="1"/>
    <col min="16" max="16" width="25.28515625" style="1" customWidth="1"/>
    <col min="17" max="17" width="9.140625" style="3" customWidth="1"/>
    <col min="18" max="18" width="9.140625" style="1" customWidth="1"/>
    <col min="19" max="19" width="9.140625" style="2" customWidth="1"/>
  </cols>
  <sheetData>
    <row r="1" spans="1:4" ht="15.75" x14ac:dyDescent="0.25">
      <c r="A1" s="13"/>
      <c r="B1" s="14"/>
      <c r="C1" s="15"/>
      <c r="D1" s="16" t="s">
        <v>79</v>
      </c>
    </row>
    <row r="2" spans="1:4" x14ac:dyDescent="0.2">
      <c r="A2" s="13"/>
      <c r="B2" s="14"/>
      <c r="C2" s="15"/>
      <c r="D2" s="14"/>
    </row>
    <row r="3" spans="1:4" ht="14.25" x14ac:dyDescent="0.2">
      <c r="A3" s="13"/>
      <c r="B3" s="14"/>
      <c r="C3" s="15"/>
      <c r="D3" s="17" t="s">
        <v>252</v>
      </c>
    </row>
    <row r="4" spans="1:4" x14ac:dyDescent="0.2">
      <c r="A4" s="13"/>
      <c r="B4" s="14"/>
      <c r="C4" s="15"/>
      <c r="D4" s="14"/>
    </row>
    <row r="5" spans="1:4" x14ac:dyDescent="0.2">
      <c r="A5" s="18" t="s">
        <v>78</v>
      </c>
      <c r="B5" s="14"/>
      <c r="C5" s="15"/>
      <c r="D5" s="14"/>
    </row>
    <row r="6" spans="1:4" x14ac:dyDescent="0.2">
      <c r="A6" s="19"/>
      <c r="B6" s="14"/>
      <c r="C6" s="15"/>
      <c r="D6" s="14"/>
    </row>
    <row r="7" spans="1:4" x14ac:dyDescent="0.2">
      <c r="A7" s="19" t="s">
        <v>214</v>
      </c>
      <c r="B7" s="14"/>
      <c r="C7" s="15"/>
      <c r="D7" s="14"/>
    </row>
    <row r="8" spans="1:4" x14ac:dyDescent="0.2">
      <c r="A8" s="19" t="s">
        <v>215</v>
      </c>
      <c r="B8" s="14"/>
      <c r="C8" s="15"/>
      <c r="D8" s="14"/>
    </row>
    <row r="9" spans="1:4" x14ac:dyDescent="0.2">
      <c r="A9" s="19" t="s">
        <v>161</v>
      </c>
      <c r="B9" s="14"/>
      <c r="C9" s="15"/>
      <c r="D9" s="14"/>
    </row>
    <row r="10" spans="1:4" x14ac:dyDescent="0.2">
      <c r="A10" s="19" t="s">
        <v>80</v>
      </c>
      <c r="B10" s="14"/>
      <c r="C10" s="15"/>
      <c r="D10" s="14"/>
    </row>
    <row r="11" spans="1:4" x14ac:dyDescent="0.2">
      <c r="A11" s="19" t="s">
        <v>220</v>
      </c>
      <c r="B11" s="14"/>
      <c r="C11" s="15"/>
      <c r="D11" s="14"/>
    </row>
    <row r="12" spans="1:4" x14ac:dyDescent="0.2">
      <c r="A12" s="19" t="s">
        <v>219</v>
      </c>
      <c r="B12" s="14"/>
      <c r="C12" s="15"/>
      <c r="D12" s="14"/>
    </row>
    <row r="13" spans="1:4" x14ac:dyDescent="0.2">
      <c r="A13" s="19" t="s">
        <v>216</v>
      </c>
      <c r="B13" s="14"/>
      <c r="C13" s="15"/>
      <c r="D13" s="14"/>
    </row>
    <row r="14" spans="1:4" x14ac:dyDescent="0.2">
      <c r="A14" s="19" t="s">
        <v>217</v>
      </c>
      <c r="B14" s="14"/>
      <c r="C14" s="15"/>
      <c r="D14" s="14"/>
    </row>
    <row r="15" spans="1:4" x14ac:dyDescent="0.2">
      <c r="A15" s="19" t="s">
        <v>162</v>
      </c>
      <c r="B15" s="14"/>
      <c r="C15" s="15"/>
      <c r="D15" s="14"/>
    </row>
    <row r="16" spans="1:4" x14ac:dyDescent="0.2">
      <c r="A16" s="19" t="s">
        <v>137</v>
      </c>
      <c r="B16" s="14"/>
      <c r="C16" s="15"/>
      <c r="D16" s="14"/>
    </row>
    <row r="17" spans="1:24" x14ac:dyDescent="0.2">
      <c r="A17" s="19" t="s">
        <v>138</v>
      </c>
      <c r="B17" s="14"/>
      <c r="C17" s="15"/>
      <c r="D17" s="14"/>
    </row>
    <row r="20" spans="1:24" ht="13.5" thickBot="1" x14ac:dyDescent="0.25">
      <c r="B20" s="5" t="s">
        <v>140</v>
      </c>
      <c r="C20" s="6"/>
      <c r="D20" s="7"/>
      <c r="E20" s="6"/>
      <c r="F20" s="8" t="s">
        <v>141</v>
      </c>
      <c r="G20" s="6"/>
      <c r="H20" s="7"/>
      <c r="I20" s="6"/>
      <c r="J20" s="8" t="s">
        <v>33</v>
      </c>
      <c r="K20" s="6"/>
      <c r="L20" s="7"/>
      <c r="M20"/>
      <c r="N20" s="12" t="s">
        <v>7</v>
      </c>
      <c r="O20" s="9"/>
      <c r="P20" s="9"/>
    </row>
    <row r="21" spans="1:24" x14ac:dyDescent="0.2">
      <c r="B21" s="20">
        <f>J46</f>
        <v>0</v>
      </c>
      <c r="C21" s="21"/>
      <c r="D21" s="22" t="s">
        <v>172</v>
      </c>
      <c r="E21" s="6"/>
      <c r="F21" s="33">
        <v>0</v>
      </c>
      <c r="G21" s="21"/>
      <c r="H21" s="22" t="s">
        <v>86</v>
      </c>
      <c r="I21" s="6"/>
      <c r="J21" s="39">
        <f>F62</f>
        <v>0</v>
      </c>
      <c r="K21" s="21"/>
      <c r="L21" s="22" t="s">
        <v>35</v>
      </c>
      <c r="M21"/>
      <c r="N21" s="42">
        <f>F35+MIN(B51*B159,MAX(0,F31-B57))+MAX(0,F32-B58)-B33</f>
        <v>0</v>
      </c>
      <c r="O21" s="43"/>
      <c r="P21" s="44" t="s">
        <v>59</v>
      </c>
    </row>
    <row r="22" spans="1:24" x14ac:dyDescent="0.2">
      <c r="B22" s="23">
        <f>N46</f>
        <v>0</v>
      </c>
      <c r="C22" s="24"/>
      <c r="D22" s="25" t="s">
        <v>88</v>
      </c>
      <c r="E22" s="6"/>
      <c r="F22" s="27">
        <v>0</v>
      </c>
      <c r="G22" s="24"/>
      <c r="H22" s="25" t="s">
        <v>221</v>
      </c>
      <c r="I22" s="6"/>
      <c r="J22" s="40">
        <f>SUM(F51:F53)</f>
        <v>0</v>
      </c>
      <c r="K22" s="14"/>
      <c r="L22" s="25" t="s">
        <v>54</v>
      </c>
      <c r="M22" s="1"/>
      <c r="N22" s="27">
        <v>0</v>
      </c>
      <c r="O22" s="14"/>
      <c r="P22" s="25" t="s">
        <v>170</v>
      </c>
    </row>
    <row r="23" spans="1:24" x14ac:dyDescent="0.2">
      <c r="B23" s="23">
        <f>J62</f>
        <v>0</v>
      </c>
      <c r="C23" s="24"/>
      <c r="D23" s="25" t="s">
        <v>0</v>
      </c>
      <c r="E23" s="6"/>
      <c r="F23" s="27">
        <v>0</v>
      </c>
      <c r="G23" s="24"/>
      <c r="H23" s="25" t="s">
        <v>71</v>
      </c>
      <c r="I23" s="6"/>
      <c r="J23" s="40">
        <f>F59</f>
        <v>0</v>
      </c>
      <c r="K23" s="24"/>
      <c r="L23" s="25" t="s">
        <v>41</v>
      </c>
      <c r="M23" s="1"/>
      <c r="N23" s="27">
        <v>0</v>
      </c>
      <c r="O23" s="14"/>
      <c r="P23" s="25" t="s">
        <v>159</v>
      </c>
    </row>
    <row r="24" spans="1:24" x14ac:dyDescent="0.2">
      <c r="B24" s="26">
        <v>0</v>
      </c>
      <c r="C24" s="24"/>
      <c r="D24" s="25" t="s">
        <v>173</v>
      </c>
      <c r="E24" s="6"/>
      <c r="F24" s="27">
        <v>0</v>
      </c>
      <c r="G24" s="24"/>
      <c r="H24" s="25" t="s">
        <v>72</v>
      </c>
      <c r="I24" s="6"/>
      <c r="J24" s="40">
        <f>F54-F55</f>
        <v>0</v>
      </c>
      <c r="K24" s="24"/>
      <c r="L24" s="25" t="s">
        <v>38</v>
      </c>
      <c r="M24" s="1"/>
      <c r="N24" s="23">
        <f>MAX(0,B51-MAX(B33,(F36-F37)-N21)+N22-F44-B70-IF(N23=0,0,SUM(B54:B55)-N23))</f>
        <v>0</v>
      </c>
      <c r="O24" s="34"/>
      <c r="P24" s="35" t="s">
        <v>63</v>
      </c>
    </row>
    <row r="25" spans="1:24" x14ac:dyDescent="0.2">
      <c r="B25" s="27">
        <v>0</v>
      </c>
      <c r="C25" s="24"/>
      <c r="D25" s="25" t="s">
        <v>174</v>
      </c>
      <c r="E25" s="6"/>
      <c r="F25" s="27">
        <v>0</v>
      </c>
      <c r="G25" s="24"/>
      <c r="H25" s="25" t="s">
        <v>91</v>
      </c>
      <c r="I25" s="6"/>
      <c r="J25" s="40">
        <f>F68</f>
        <v>0</v>
      </c>
      <c r="K25" s="24"/>
      <c r="L25" s="25" t="s">
        <v>43</v>
      </c>
      <c r="M25" s="1"/>
      <c r="N25" s="23">
        <f>IF(N24&lt;=B153,B152,MAX(0,B152-((N24-B153)*B154)))</f>
        <v>70100</v>
      </c>
      <c r="O25" s="34"/>
      <c r="P25" s="35" t="s">
        <v>60</v>
      </c>
    </row>
    <row r="26" spans="1:24" x14ac:dyDescent="0.2">
      <c r="B26" s="27">
        <v>0</v>
      </c>
      <c r="C26" s="24"/>
      <c r="D26" s="25" t="s">
        <v>176</v>
      </c>
      <c r="E26" s="6"/>
      <c r="F26" s="27">
        <v>0</v>
      </c>
      <c r="G26" s="24"/>
      <c r="H26" s="25" t="s">
        <v>77</v>
      </c>
      <c r="I26" s="6"/>
      <c r="J26" s="41">
        <f>J78</f>
        <v>0</v>
      </c>
      <c r="K26" s="24"/>
      <c r="L26" s="25" t="s">
        <v>46</v>
      </c>
      <c r="M26" s="1"/>
      <c r="N26" s="23">
        <f>MAX(0,N24-N25)+IF(OR(B160=0,B160&gt;(N24-N25)),0,MIN(B152,B154*(N24-N25-B160)))</f>
        <v>0</v>
      </c>
      <c r="O26" s="34"/>
      <c r="P26" s="35" t="s">
        <v>62</v>
      </c>
    </row>
    <row r="27" spans="1:24" x14ac:dyDescent="0.2">
      <c r="B27" s="26">
        <v>0</v>
      </c>
      <c r="C27" s="24"/>
      <c r="D27" s="25" t="s">
        <v>175</v>
      </c>
      <c r="E27" s="6"/>
      <c r="F27" s="27">
        <v>0</v>
      </c>
      <c r="G27" s="24"/>
      <c r="H27" s="25" t="s">
        <v>2</v>
      </c>
      <c r="I27" s="6"/>
      <c r="J27" s="81">
        <f>F70</f>
        <v>0</v>
      </c>
      <c r="K27" s="24"/>
      <c r="L27" s="25" t="s">
        <v>52</v>
      </c>
      <c r="M27" s="1"/>
      <c r="N27" s="23">
        <f>MAX(0,B106*MIN(N26,IF(N23&gt;0,N23,B54))+IF(N23=0,N23,B55)*B107+IF(N26-IF(N23&gt;0,N23,B54-B55)&gt;B157,B156*MAX(0,N26-IF(N23&gt;0,N23,B54-B55))-B158,B155*MAX(0,N26-IF(N23&gt;0,N23,B54-B55))))+IF(N26&gt;B109,((B108-B106)*MIN(B54,N26-B109)),0)</f>
        <v>0</v>
      </c>
      <c r="O27" s="24"/>
      <c r="P27" s="25" t="s">
        <v>164</v>
      </c>
    </row>
    <row r="28" spans="1:24" x14ac:dyDescent="0.2">
      <c r="B28" s="27">
        <v>0</v>
      </c>
      <c r="C28" s="24"/>
      <c r="D28" s="25" t="s">
        <v>185</v>
      </c>
      <c r="E28" s="6"/>
      <c r="F28" s="27">
        <v>0</v>
      </c>
      <c r="G28" s="24"/>
      <c r="H28" s="25" t="s">
        <v>3</v>
      </c>
      <c r="I28" s="6"/>
      <c r="J28" s="82">
        <f>IF(F46=0,0,F62/F46)</f>
        <v>0</v>
      </c>
      <c r="K28" s="15"/>
      <c r="L28" s="25" t="s">
        <v>183</v>
      </c>
      <c r="M28" s="1"/>
      <c r="N28" s="27">
        <v>0</v>
      </c>
      <c r="O28" s="14"/>
      <c r="P28" s="25" t="s">
        <v>76</v>
      </c>
    </row>
    <row r="29" spans="1:24" ht="13.5" thickBot="1" x14ac:dyDescent="0.25">
      <c r="B29" s="26">
        <v>0</v>
      </c>
      <c r="C29" s="24"/>
      <c r="D29" s="25" t="s">
        <v>160</v>
      </c>
      <c r="E29" s="6"/>
      <c r="F29" s="26">
        <v>0</v>
      </c>
      <c r="G29" s="24"/>
      <c r="H29" s="25" t="s">
        <v>177</v>
      </c>
      <c r="I29" s="6"/>
      <c r="J29" s="89">
        <f>VLOOKUP(F46,B169:C175,2)</f>
        <v>0.1</v>
      </c>
      <c r="K29" s="15"/>
      <c r="L29" s="25" t="s">
        <v>184</v>
      </c>
      <c r="N29" s="45">
        <f>IF(OR(B78="1",B78="y",B78="Y",B78="yes",B78="YES",B78="Yes",B78="true",B78="TRUE",B78="True"),ROUND(MAX(0,N27-N28-F49),0),MAX(0,N27-N28-F49))</f>
        <v>0</v>
      </c>
      <c r="O29" s="31"/>
      <c r="P29" s="32" t="s">
        <v>166</v>
      </c>
    </row>
    <row r="30" spans="1:24" ht="13.5" thickBot="1" x14ac:dyDescent="0.25">
      <c r="B30" s="26">
        <v>0</v>
      </c>
      <c r="C30" s="24"/>
      <c r="D30" s="25" t="s">
        <v>223</v>
      </c>
      <c r="E30" s="6"/>
      <c r="F30" s="27">
        <v>0</v>
      </c>
      <c r="G30" s="24"/>
      <c r="H30" s="25" t="s">
        <v>148</v>
      </c>
      <c r="I30" s="6"/>
      <c r="J30" s="83">
        <f>IF(F46&lt;=B102,B101,IF(AND(F46&lt;=B104,F46-SUM(B54:B55)&lt;=B102),B103,IF(F46&lt;=B104,B103,B105)))</f>
        <v>0</v>
      </c>
      <c r="K30" s="79"/>
      <c r="L30" s="32" t="s">
        <v>218</v>
      </c>
    </row>
    <row r="31" spans="1:24" x14ac:dyDescent="0.2">
      <c r="B31" s="27">
        <v>0</v>
      </c>
      <c r="C31" s="24"/>
      <c r="D31" s="25" t="s">
        <v>106</v>
      </c>
      <c r="E31" s="6"/>
      <c r="F31" s="27">
        <v>0</v>
      </c>
      <c r="G31" s="14"/>
      <c r="H31" s="25" t="s">
        <v>149</v>
      </c>
      <c r="I31" s="6"/>
      <c r="M31" s="6"/>
      <c r="W31" s="1"/>
      <c r="X31" s="1"/>
    </row>
    <row r="32" spans="1:24" ht="13.5" thickBot="1" x14ac:dyDescent="0.25">
      <c r="B32" s="27">
        <v>0</v>
      </c>
      <c r="C32" s="24"/>
      <c r="D32" s="25" t="s">
        <v>4</v>
      </c>
      <c r="E32" s="6"/>
      <c r="F32" s="88">
        <v>0</v>
      </c>
      <c r="G32" s="34"/>
      <c r="H32" s="35" t="s">
        <v>136</v>
      </c>
      <c r="I32" s="6"/>
      <c r="J32" s="10" t="s">
        <v>73</v>
      </c>
      <c r="K32" s="1"/>
      <c r="L32" s="2"/>
      <c r="M32" s="6"/>
      <c r="N32" s="10" t="s">
        <v>74</v>
      </c>
      <c r="O32" s="1"/>
      <c r="P32" s="2"/>
      <c r="W32" s="1"/>
      <c r="X32" s="1"/>
    </row>
    <row r="33" spans="2:24" x14ac:dyDescent="0.2">
      <c r="B33" s="28">
        <v>0</v>
      </c>
      <c r="C33" s="24"/>
      <c r="D33" s="25" t="s">
        <v>181</v>
      </c>
      <c r="E33" s="6"/>
      <c r="F33" s="36"/>
      <c r="G33" s="14"/>
      <c r="H33" s="37"/>
      <c r="I33" s="6"/>
      <c r="J33" s="33">
        <v>0</v>
      </c>
      <c r="K33" s="46"/>
      <c r="L33" s="22" t="s">
        <v>87</v>
      </c>
      <c r="M33" s="6"/>
      <c r="N33" s="33">
        <v>0</v>
      </c>
      <c r="O33" s="46"/>
      <c r="P33" s="22" t="s">
        <v>87</v>
      </c>
      <c r="W33" s="1"/>
      <c r="X33" s="1"/>
    </row>
    <row r="34" spans="2:24" x14ac:dyDescent="0.2">
      <c r="B34" s="27">
        <v>0</v>
      </c>
      <c r="C34" s="24"/>
      <c r="D34" s="25" t="s">
        <v>1</v>
      </c>
      <c r="E34" s="6"/>
      <c r="F34" s="23">
        <f>SUM(F21:F27)+F30+SUM(B59:B60)</f>
        <v>0</v>
      </c>
      <c r="G34" s="24"/>
      <c r="H34" s="25" t="s">
        <v>100</v>
      </c>
      <c r="I34" s="6"/>
      <c r="J34" s="27">
        <v>0</v>
      </c>
      <c r="K34" s="14"/>
      <c r="L34" s="25" t="s">
        <v>89</v>
      </c>
      <c r="M34" s="6"/>
      <c r="N34" s="27">
        <v>0</v>
      </c>
      <c r="O34" s="14"/>
      <c r="P34" s="25" t="s">
        <v>89</v>
      </c>
      <c r="T34" s="1"/>
      <c r="U34" s="1"/>
      <c r="V34" s="1"/>
      <c r="W34" s="1"/>
      <c r="X34" s="1"/>
    </row>
    <row r="35" spans="2:24" x14ac:dyDescent="0.2">
      <c r="B35" s="27">
        <v>0</v>
      </c>
      <c r="C35" s="24"/>
      <c r="D35" s="90" t="s">
        <v>227</v>
      </c>
      <c r="E35" s="6"/>
      <c r="F35" s="23">
        <f>IF(B51-B151&lt;=0,B61,IF(B61-B150*(B51-B151)&lt;B149,B149,MAX(B149,B61)-B150*(B51-B151)))</f>
        <v>0</v>
      </c>
      <c r="G35" s="15"/>
      <c r="H35" s="25" t="s">
        <v>203</v>
      </c>
      <c r="I35" s="6"/>
      <c r="J35" s="27">
        <v>0</v>
      </c>
      <c r="K35" s="14"/>
      <c r="L35" s="25" t="s">
        <v>90</v>
      </c>
      <c r="M35" s="6"/>
      <c r="N35" s="27">
        <v>0</v>
      </c>
      <c r="O35" s="14"/>
      <c r="P35" s="25" t="s">
        <v>90</v>
      </c>
      <c r="T35" s="1"/>
      <c r="U35" s="1"/>
      <c r="V35" s="1"/>
      <c r="W35" s="1"/>
      <c r="X35" s="1"/>
    </row>
    <row r="36" spans="2:24" x14ac:dyDescent="0.2">
      <c r="B36" s="27">
        <v>0</v>
      </c>
      <c r="C36" s="24"/>
      <c r="D36" s="90" t="s">
        <v>228</v>
      </c>
      <c r="E36" s="6"/>
      <c r="F36" s="23">
        <f>F21+F27+F30+F35+SUM(B59:B60)</f>
        <v>0</v>
      </c>
      <c r="G36" s="15"/>
      <c r="H36" s="25" t="s">
        <v>204</v>
      </c>
      <c r="I36" s="6"/>
      <c r="J36" s="27">
        <v>0</v>
      </c>
      <c r="K36" s="14"/>
      <c r="L36" s="25" t="s">
        <v>92</v>
      </c>
      <c r="M36" s="6"/>
      <c r="N36" s="27">
        <v>0</v>
      </c>
      <c r="O36" s="14"/>
      <c r="P36" s="25" t="s">
        <v>92</v>
      </c>
      <c r="T36" s="1"/>
      <c r="U36" s="1"/>
      <c r="V36" s="1"/>
      <c r="W36" s="1"/>
      <c r="X36" s="1"/>
    </row>
    <row r="37" spans="2:24" x14ac:dyDescent="0.2">
      <c r="B37" s="23"/>
      <c r="C37" s="24"/>
      <c r="D37" s="29"/>
      <c r="E37" s="6"/>
      <c r="F37" s="23">
        <f>MIN(B124*F36,B123*MAX(B51-B122,0))</f>
        <v>0</v>
      </c>
      <c r="G37" s="24"/>
      <c r="H37" s="25" t="s">
        <v>97</v>
      </c>
      <c r="I37" s="6"/>
      <c r="J37" s="27">
        <v>0</v>
      </c>
      <c r="K37" s="14"/>
      <c r="L37" s="25" t="s">
        <v>93</v>
      </c>
      <c r="M37" s="6"/>
      <c r="N37" s="27">
        <v>0</v>
      </c>
      <c r="O37" s="14"/>
      <c r="P37" s="25" t="s">
        <v>93</v>
      </c>
      <c r="T37" s="1"/>
      <c r="U37" s="1"/>
      <c r="V37" s="1"/>
      <c r="W37" s="1"/>
      <c r="X37" s="1"/>
    </row>
    <row r="38" spans="2:24" ht="13.5" thickBot="1" x14ac:dyDescent="0.25">
      <c r="B38" s="30">
        <f>SUM(B21:B36)</f>
        <v>0</v>
      </c>
      <c r="C38" s="31"/>
      <c r="D38" s="32" t="s">
        <v>6</v>
      </c>
      <c r="E38" s="6"/>
      <c r="F38" s="38">
        <f>MAX(F36-F37,B112+(SUM(B75:B76)*B113)+MIN(B147,F28))+IF(B112+(SUM(B75:B76)*B113)&lt;F36-F37,0,MIN(B125,F28))</f>
        <v>16100</v>
      </c>
      <c r="G38" s="24"/>
      <c r="H38" s="25" t="s">
        <v>101</v>
      </c>
      <c r="I38" s="6"/>
      <c r="J38" s="27">
        <v>0</v>
      </c>
      <c r="K38" s="14"/>
      <c r="L38" s="25" t="s">
        <v>94</v>
      </c>
      <c r="M38" s="6"/>
      <c r="N38" s="27">
        <v>0</v>
      </c>
      <c r="O38" s="14"/>
      <c r="P38" s="25" t="s">
        <v>94</v>
      </c>
      <c r="T38" s="1"/>
      <c r="U38" s="1"/>
      <c r="V38" s="1"/>
      <c r="W38" s="1"/>
      <c r="X38" s="1"/>
    </row>
    <row r="39" spans="2:24" x14ac:dyDescent="0.2">
      <c r="B39" s="4"/>
      <c r="C39" s="6"/>
      <c r="D39" s="7"/>
      <c r="E39" s="6"/>
      <c r="F39" s="23"/>
      <c r="G39" s="24"/>
      <c r="H39" s="29"/>
      <c r="I39" s="6"/>
      <c r="J39" s="27">
        <v>0</v>
      </c>
      <c r="K39" s="14"/>
      <c r="L39" s="25" t="s">
        <v>95</v>
      </c>
      <c r="M39" s="6"/>
      <c r="N39" s="27">
        <v>0</v>
      </c>
      <c r="O39" s="14"/>
      <c r="P39" s="25" t="s">
        <v>95</v>
      </c>
      <c r="T39" s="1"/>
      <c r="U39" s="1"/>
      <c r="V39" s="1"/>
      <c r="W39" s="1"/>
      <c r="X39" s="1"/>
    </row>
    <row r="40" spans="2:24" ht="13.5" thickBot="1" x14ac:dyDescent="0.25">
      <c r="B40" s="8" t="s">
        <v>27</v>
      </c>
      <c r="C40" s="6"/>
      <c r="D40" s="7"/>
      <c r="E40" s="6"/>
      <c r="F40" s="23">
        <f>B114*B74</f>
        <v>0</v>
      </c>
      <c r="G40" s="24"/>
      <c r="H40" s="25" t="s">
        <v>28</v>
      </c>
      <c r="I40" s="6"/>
      <c r="J40" s="27">
        <v>0</v>
      </c>
      <c r="K40" s="14"/>
      <c r="L40" s="25" t="s">
        <v>96</v>
      </c>
      <c r="M40" s="6"/>
      <c r="N40" s="27">
        <v>0</v>
      </c>
      <c r="O40" s="14"/>
      <c r="P40" s="25" t="s">
        <v>96</v>
      </c>
      <c r="T40" s="1"/>
      <c r="U40" s="1"/>
      <c r="V40" s="1"/>
      <c r="W40" s="1"/>
      <c r="X40" s="1"/>
    </row>
    <row r="41" spans="2:24" x14ac:dyDescent="0.2">
      <c r="B41" s="42">
        <f>N62</f>
        <v>0</v>
      </c>
      <c r="C41" s="21"/>
      <c r="D41" s="22" t="s">
        <v>29</v>
      </c>
      <c r="E41" s="6"/>
      <c r="F41" s="23">
        <f>F40*B117*CEILING(MAX((B51-B116)/B115,0),1)</f>
        <v>0</v>
      </c>
      <c r="G41" s="24"/>
      <c r="H41" s="25" t="s">
        <v>97</v>
      </c>
      <c r="I41" s="6"/>
      <c r="J41" s="27">
        <v>0</v>
      </c>
      <c r="K41" s="14"/>
      <c r="L41" s="25" t="s">
        <v>98</v>
      </c>
      <c r="M41" s="6"/>
      <c r="N41" s="27">
        <v>0</v>
      </c>
      <c r="O41" s="14"/>
      <c r="P41" s="25" t="s">
        <v>98</v>
      </c>
      <c r="T41" s="1"/>
      <c r="U41" s="1"/>
      <c r="V41" s="1"/>
      <c r="W41" s="1"/>
      <c r="X41" s="1"/>
    </row>
    <row r="42" spans="2:24" x14ac:dyDescent="0.2">
      <c r="B42" s="23">
        <f>(F59+MAX(0,B130*(B52-B111)))/2</f>
        <v>0</v>
      </c>
      <c r="C42" s="24"/>
      <c r="D42" s="25" t="s">
        <v>30</v>
      </c>
      <c r="E42" s="6"/>
      <c r="F42" s="23">
        <f>MAX(0,F40-F41)</f>
        <v>0</v>
      </c>
      <c r="G42" s="24"/>
      <c r="H42" s="25" t="s">
        <v>31</v>
      </c>
      <c r="I42" s="6"/>
      <c r="J42" s="27">
        <v>0</v>
      </c>
      <c r="K42" s="14"/>
      <c r="L42" s="25" t="s">
        <v>99</v>
      </c>
      <c r="M42" s="6"/>
      <c r="N42" s="27">
        <v>0</v>
      </c>
      <c r="O42" s="14"/>
      <c r="P42" s="25" t="s">
        <v>99</v>
      </c>
      <c r="T42" s="1"/>
      <c r="U42" s="1"/>
      <c r="V42" s="1"/>
      <c r="W42" s="1"/>
      <c r="X42" s="1"/>
    </row>
    <row r="43" spans="2:24" x14ac:dyDescent="0.2">
      <c r="B43" s="27">
        <v>0</v>
      </c>
      <c r="C43" s="24"/>
      <c r="D43" s="25" t="s">
        <v>32</v>
      </c>
      <c r="E43" s="6"/>
      <c r="F43" s="23">
        <f>IF(B76&gt;=1,0,MAX(0,B76))*MAX(0,B140-MAX(0,B141*(B51-B142)))</f>
        <v>0</v>
      </c>
      <c r="H43" s="25" t="s">
        <v>240</v>
      </c>
      <c r="I43" s="6"/>
      <c r="J43" s="27">
        <v>0</v>
      </c>
      <c r="K43" s="14"/>
      <c r="L43" s="25" t="s">
        <v>102</v>
      </c>
      <c r="M43" s="6"/>
      <c r="N43" s="27">
        <v>0</v>
      </c>
      <c r="O43" s="14"/>
      <c r="P43" s="25" t="s">
        <v>102</v>
      </c>
      <c r="T43" s="1"/>
      <c r="U43" s="1"/>
      <c r="V43" s="1"/>
      <c r="W43" s="1"/>
      <c r="X43" s="1"/>
    </row>
    <row r="44" spans="2:24" x14ac:dyDescent="0.2">
      <c r="B44" s="27">
        <v>0</v>
      </c>
      <c r="C44" s="24"/>
      <c r="D44" s="25" t="s">
        <v>213</v>
      </c>
      <c r="E44" s="6"/>
      <c r="F44" s="27">
        <v>0</v>
      </c>
      <c r="G44" s="24"/>
      <c r="H44" s="25" t="s">
        <v>222</v>
      </c>
      <c r="I44" s="6"/>
      <c r="J44" s="27">
        <v>0</v>
      </c>
      <c r="K44" s="14"/>
      <c r="L44" s="25" t="s">
        <v>103</v>
      </c>
      <c r="M44" s="6"/>
      <c r="N44" s="27">
        <v>0</v>
      </c>
      <c r="O44" s="14"/>
      <c r="P44" s="25" t="s">
        <v>103</v>
      </c>
      <c r="T44" s="1"/>
      <c r="U44" s="1"/>
      <c r="V44" s="1"/>
      <c r="W44" s="1"/>
      <c r="X44" s="1"/>
    </row>
    <row r="45" spans="2:24" x14ac:dyDescent="0.2">
      <c r="B45" s="27">
        <v>0</v>
      </c>
      <c r="C45" s="24"/>
      <c r="D45" s="25" t="s">
        <v>147</v>
      </c>
      <c r="E45" s="6"/>
      <c r="F45" s="23"/>
      <c r="G45" s="24"/>
      <c r="H45" s="29"/>
      <c r="I45" s="6"/>
      <c r="J45" s="36"/>
      <c r="K45" s="14"/>
      <c r="L45" s="29"/>
      <c r="M45" s="6"/>
      <c r="N45" s="36"/>
      <c r="O45" s="14"/>
      <c r="P45" s="29"/>
      <c r="T45" s="1"/>
      <c r="U45" s="1"/>
      <c r="V45" s="1"/>
      <c r="W45" s="1"/>
      <c r="X45" s="1"/>
    </row>
    <row r="46" spans="2:24" ht="13.5" thickBot="1" x14ac:dyDescent="0.25">
      <c r="B46" s="27">
        <v>0</v>
      </c>
      <c r="C46" s="24"/>
      <c r="D46" s="25" t="s">
        <v>148</v>
      </c>
      <c r="E46" s="6"/>
      <c r="F46" s="30">
        <f>MAX(0,B51-F38-SUM(F42:F44)-(B70*IF(OR(B80="1",B80="y",B80="Y",B80="yes",B80="YES",B80="Yes",B80="true",B80="TRUE",B80="True"),1,0)))</f>
        <v>0</v>
      </c>
      <c r="G46" s="31"/>
      <c r="H46" s="32" t="s">
        <v>83</v>
      </c>
      <c r="I46" s="6"/>
      <c r="J46" s="47">
        <f>SUM(J33:J44)</f>
        <v>0</v>
      </c>
      <c r="K46" s="48"/>
      <c r="L46" s="32" t="s">
        <v>25</v>
      </c>
      <c r="M46" s="6"/>
      <c r="N46" s="47">
        <f>SUM(N33:N44)</f>
        <v>0</v>
      </c>
      <c r="O46" s="48"/>
      <c r="P46" s="32" t="s">
        <v>25</v>
      </c>
      <c r="T46" s="1"/>
      <c r="U46" s="1"/>
      <c r="V46" s="1"/>
      <c r="W46" s="1"/>
      <c r="X46" s="1"/>
    </row>
    <row r="47" spans="2:24" x14ac:dyDescent="0.2">
      <c r="B47" s="36"/>
      <c r="C47" s="14"/>
      <c r="D47" s="37"/>
      <c r="E47" s="6"/>
      <c r="I47" s="6"/>
      <c r="J47" s="3"/>
      <c r="K47" s="1"/>
      <c r="L47" s="2"/>
      <c r="M47" s="6"/>
      <c r="N47" s="3"/>
      <c r="O47" s="1"/>
      <c r="P47" s="2"/>
      <c r="T47" s="1"/>
      <c r="U47" s="1"/>
      <c r="V47" s="1"/>
      <c r="W47" s="1"/>
      <c r="X47" s="1"/>
    </row>
    <row r="48" spans="2:24" ht="13.5" thickBot="1" x14ac:dyDescent="0.25">
      <c r="B48" s="49">
        <f>B41+B42+(B43*B136)+B44+B45+B46-B53</f>
        <v>0</v>
      </c>
      <c r="C48" s="31"/>
      <c r="D48" s="32" t="s">
        <v>143</v>
      </c>
      <c r="E48" s="6"/>
      <c r="F48" s="8" t="s">
        <v>55</v>
      </c>
      <c r="G48" s="6"/>
      <c r="H48" s="7"/>
      <c r="I48" s="6"/>
      <c r="J48" s="10" t="s">
        <v>24</v>
      </c>
      <c r="K48" s="6"/>
      <c r="L48" s="7"/>
      <c r="M48" s="6"/>
      <c r="N48" s="10" t="s">
        <v>29</v>
      </c>
      <c r="O48" s="6"/>
      <c r="P48" s="7"/>
      <c r="T48" s="1"/>
      <c r="U48" s="1"/>
      <c r="V48" s="1"/>
      <c r="W48" s="1"/>
      <c r="X48" s="1"/>
    </row>
    <row r="49" spans="2:25" x14ac:dyDescent="0.2">
      <c r="B49" s="4"/>
      <c r="C49" s="6"/>
      <c r="D49" s="7"/>
      <c r="E49" s="6"/>
      <c r="F49" s="42">
        <f>IF(F46-SUM(B54:B55)&gt;B98,(B99+(B100*(F46-B98-SUM(B54:B55)))),IF(F46-SUM(B54:B55)&gt;B95,(B96+(B97*(F46-B95-SUM(B54:B55)))),IF(F46-SUM(B54:B55)&gt;B92,(B93+(B94*(F46-B92-SUM(B54:B55)))),IF(F46-SUM(B54:B55)&gt;B89,(B90+(B91*(F46-B89-SUM(B54:B55)))),IF(F46-SUM(B54:B55)&gt;B86,((B87+(B88*(F46-B86-SUM(B54:B55))))),IF(F46-SUM(B54:B55)&gt;B83,(B84+(B85*(F46-B83-SUM(B54:B55)))),B82*MAX(0,F46-SUM(B54:B55))))))))+IF(F46&lt;=B102,B101*SUM(B54:B55),IF(AND(F46&lt;=B104,F46-SUM(B54:B55)&lt;=B102),B103*(F46-B102)+B101*(MAX(0,SUM(B54:B55)-(F46-B102))),IF(F46&lt;=B104,B103*SUM(B54:B55),IF(F46-SUM(B54:B55)&gt;B104,B105*SUM(B54:B55),B105*(F46-B104)+B103*(B104-MAX(B102,MAX(0,F46-SUM(B54:B55))))))))</f>
        <v>0</v>
      </c>
      <c r="G49" s="21"/>
      <c r="H49" s="22" t="s">
        <v>36</v>
      </c>
      <c r="I49" s="6"/>
      <c r="J49" s="33">
        <v>0</v>
      </c>
      <c r="K49" s="21"/>
      <c r="L49" s="22" t="s">
        <v>87</v>
      </c>
      <c r="M49" s="6"/>
      <c r="N49" s="33">
        <v>0</v>
      </c>
      <c r="O49" s="21"/>
      <c r="P49" s="22" t="s">
        <v>87</v>
      </c>
      <c r="T49" s="1"/>
      <c r="U49" s="1"/>
      <c r="V49" s="1"/>
      <c r="W49" s="1"/>
      <c r="X49" s="1"/>
    </row>
    <row r="50" spans="2:25" ht="13.5" thickBot="1" x14ac:dyDescent="0.25">
      <c r="B50" s="8" t="s">
        <v>81</v>
      </c>
      <c r="C50" s="6"/>
      <c r="D50" s="7"/>
      <c r="E50" s="6"/>
      <c r="F50" s="27">
        <v>0</v>
      </c>
      <c r="G50" s="24"/>
      <c r="H50" s="25" t="s">
        <v>139</v>
      </c>
      <c r="I50" s="6"/>
      <c r="J50" s="27">
        <v>0</v>
      </c>
      <c r="K50" s="24"/>
      <c r="L50" s="25" t="s">
        <v>89</v>
      </c>
      <c r="M50" s="6"/>
      <c r="N50" s="27">
        <v>0</v>
      </c>
      <c r="O50" s="24"/>
      <c r="P50" s="25" t="s">
        <v>89</v>
      </c>
      <c r="Q50" s="4"/>
      <c r="R50" s="6"/>
      <c r="S50" s="7"/>
      <c r="T50" s="1"/>
      <c r="U50" s="1"/>
      <c r="V50" s="1"/>
      <c r="W50" s="1"/>
      <c r="X50" s="1"/>
      <c r="Y50" s="1"/>
    </row>
    <row r="51" spans="2:25" x14ac:dyDescent="0.2">
      <c r="B51" s="65">
        <f>MAX(0,B38-B48)</f>
        <v>0</v>
      </c>
      <c r="C51" s="21"/>
      <c r="D51" s="22" t="s">
        <v>144</v>
      </c>
      <c r="E51" s="6"/>
      <c r="F51" s="23">
        <f>IF(B128=0,B129*MAX(0,SUM(B21:B22)-B44),IF((B128&lt;=MAX(0,B129*MAX(0,SUM(B21:B22)-B44))),MAX(0,B128),B129*MAX(0,SUM(B21:B22)-B44)))</f>
        <v>0</v>
      </c>
      <c r="G51" s="14"/>
      <c r="H51" s="25" t="s">
        <v>53</v>
      </c>
      <c r="I51" s="6"/>
      <c r="J51" s="27">
        <v>0</v>
      </c>
      <c r="K51" s="24"/>
      <c r="L51" s="25" t="s">
        <v>90</v>
      </c>
      <c r="M51" s="6"/>
      <c r="N51" s="27">
        <v>0</v>
      </c>
      <c r="O51" s="24"/>
      <c r="P51" s="25" t="s">
        <v>90</v>
      </c>
      <c r="Q51" s="4"/>
      <c r="R51" s="6"/>
      <c r="S51" s="7"/>
      <c r="T51" s="1"/>
      <c r="U51" s="1"/>
      <c r="V51" s="1"/>
      <c r="W51" s="1"/>
      <c r="X51" s="1"/>
      <c r="Y51" s="1"/>
    </row>
    <row r="52" spans="2:25" x14ac:dyDescent="0.2">
      <c r="B52" s="23">
        <f>B23-B41</f>
        <v>0</v>
      </c>
      <c r="C52" s="24"/>
      <c r="D52" s="25" t="s">
        <v>145</v>
      </c>
      <c r="E52" s="6"/>
      <c r="F52" s="23">
        <f>B130*(MAX(0,SUM(B21:B22)+B52-B44-B111))</f>
        <v>0</v>
      </c>
      <c r="G52" s="14"/>
      <c r="H52" s="25" t="s">
        <v>85</v>
      </c>
      <c r="I52" s="6"/>
      <c r="J52" s="27">
        <v>0</v>
      </c>
      <c r="K52" s="24"/>
      <c r="L52" s="25" t="s">
        <v>92</v>
      </c>
      <c r="M52" s="6"/>
      <c r="N52" s="27">
        <v>0</v>
      </c>
      <c r="O52" s="24"/>
      <c r="P52" s="25" t="s">
        <v>92</v>
      </c>
      <c r="Q52" s="4"/>
      <c r="R52" s="6"/>
      <c r="S52" s="7"/>
      <c r="T52" s="1"/>
      <c r="U52" s="1"/>
      <c r="V52" s="1"/>
      <c r="W52" s="1"/>
      <c r="X52" s="1"/>
      <c r="Y52" s="1"/>
    </row>
    <row r="53" spans="2:25" x14ac:dyDescent="0.2">
      <c r="B53" s="23">
        <f>IF(SUM(B30:B32)-B45&gt;0,0,IF((B45-SUM(B30:B32))&gt;B137,(B45-B137-SUM(B30:B32)),0))</f>
        <v>0</v>
      </c>
      <c r="C53" s="24"/>
      <c r="D53" s="25" t="s">
        <v>146</v>
      </c>
      <c r="E53" s="6"/>
      <c r="F53" s="23">
        <f>IF(SUM(B21:B22)+SUM(B24:B36)+B52-SUM(B44:B45)&gt;B111,B110*MAX(0,MIN(SUM(B24:B27)+SUM(B29:B32)-(IF(B51=0,0,(SUM(B24:B27)+SUM(B29:B32))/B51)*F35),SUM(B21:B22)+SUM(B24:B36)+B52-SUM(B44:B45)-B111)),0)</f>
        <v>0</v>
      </c>
      <c r="H53" s="25" t="s">
        <v>186</v>
      </c>
      <c r="I53" s="6"/>
      <c r="J53" s="27">
        <v>0</v>
      </c>
      <c r="K53" s="24"/>
      <c r="L53" s="25" t="s">
        <v>93</v>
      </c>
      <c r="M53" s="6"/>
      <c r="N53" s="27">
        <v>0</v>
      </c>
      <c r="O53" s="24"/>
      <c r="P53" s="25" t="s">
        <v>93</v>
      </c>
      <c r="Q53" s="4"/>
      <c r="R53" s="6"/>
      <c r="S53" s="7"/>
      <c r="T53" s="1"/>
      <c r="U53" s="1"/>
      <c r="V53" s="1"/>
      <c r="W53" s="1"/>
      <c r="X53" s="1"/>
      <c r="Y53" s="1"/>
    </row>
    <row r="54" spans="2:25" x14ac:dyDescent="0.2">
      <c r="B54" s="23">
        <f>MAX(0,B31-B45)+B29</f>
        <v>0</v>
      </c>
      <c r="C54" s="24"/>
      <c r="D54" s="25" t="s">
        <v>105</v>
      </c>
      <c r="E54" s="6"/>
      <c r="F54" s="23">
        <f>IF(B132=0,B135*MAX(0,SUM(B21:B22)-B44),MIN(B132/2,B135*MIN(B133,MAX(0,B21-B44)))+MIN(B132/2,B135*MIN(B133,B22)))</f>
        <v>0</v>
      </c>
      <c r="G54" s="24"/>
      <c r="H54" s="25" t="s">
        <v>39</v>
      </c>
      <c r="I54" s="6"/>
      <c r="J54" s="27">
        <v>0</v>
      </c>
      <c r="K54" s="24"/>
      <c r="L54" s="25" t="s">
        <v>94</v>
      </c>
      <c r="M54" s="6"/>
      <c r="N54" s="27">
        <v>0</v>
      </c>
      <c r="O54" s="24"/>
      <c r="P54" s="25" t="s">
        <v>94</v>
      </c>
      <c r="Q54" s="4"/>
      <c r="R54" s="6"/>
      <c r="S54" s="7"/>
      <c r="T54" s="1"/>
      <c r="U54" s="1"/>
      <c r="V54" s="1"/>
      <c r="W54" s="1"/>
      <c r="X54" s="1"/>
      <c r="Y54" s="1"/>
    </row>
    <row r="55" spans="2:25" x14ac:dyDescent="0.2">
      <c r="B55" s="23">
        <f>MAX(0,MIN(B32,SUM(B31:B32)-B45))</f>
        <v>0</v>
      </c>
      <c r="C55" s="24"/>
      <c r="D55" s="25" t="s">
        <v>171</v>
      </c>
      <c r="E55" s="6"/>
      <c r="F55" s="23">
        <f>IF(OR(B77="1",B77="y",B77="Y",B77="yes",B77="YES",B77="Yes",B77="true",B77="TRUE",B77="True"),MAX(0,F54-(B133*B135)),0)</f>
        <v>0</v>
      </c>
      <c r="G55" s="24"/>
      <c r="H55" s="25" t="s">
        <v>42</v>
      </c>
      <c r="I55" s="6"/>
      <c r="J55" s="27">
        <v>0</v>
      </c>
      <c r="K55" s="24"/>
      <c r="L55" s="25" t="s">
        <v>95</v>
      </c>
      <c r="M55" s="6"/>
      <c r="N55" s="27">
        <v>0</v>
      </c>
      <c r="O55" s="24"/>
      <c r="P55" s="25" t="s">
        <v>95</v>
      </c>
      <c r="Q55" s="4"/>
      <c r="R55" s="6"/>
      <c r="S55" s="7"/>
      <c r="T55" s="1"/>
      <c r="U55" s="1"/>
      <c r="V55" s="1"/>
      <c r="W55" s="1"/>
      <c r="X55" s="1"/>
      <c r="Y55" s="1"/>
    </row>
    <row r="56" spans="2:25" x14ac:dyDescent="0.2">
      <c r="B56" s="23">
        <f>IF(B54+B55&lt;&gt;B38,B54+B55,MAX(0,MIN(F46,B54+B55)-B86))</f>
        <v>0</v>
      </c>
      <c r="C56" s="24"/>
      <c r="D56" s="25" t="s">
        <v>142</v>
      </c>
      <c r="E56" s="6"/>
      <c r="F56" s="76"/>
      <c r="G56" s="34"/>
      <c r="H56" s="51"/>
      <c r="I56" s="6"/>
      <c r="J56" s="27">
        <v>0</v>
      </c>
      <c r="K56" s="24"/>
      <c r="L56" s="25" t="s">
        <v>96</v>
      </c>
      <c r="M56" s="6"/>
      <c r="N56" s="27">
        <v>0</v>
      </c>
      <c r="O56" s="24"/>
      <c r="P56" s="25" t="s">
        <v>96</v>
      </c>
      <c r="Q56" s="4"/>
      <c r="R56" s="6"/>
      <c r="S56" s="7"/>
      <c r="T56" s="1"/>
      <c r="U56" s="1"/>
      <c r="V56" s="1"/>
      <c r="W56" s="1"/>
      <c r="X56" s="1"/>
      <c r="Y56" s="1"/>
    </row>
    <row r="57" spans="2:25" x14ac:dyDescent="0.2">
      <c r="B57" s="23">
        <f>B51*IF(SUM(B75:B76)=0,B138,B139)</f>
        <v>0</v>
      </c>
      <c r="C57" s="14"/>
      <c r="D57" s="25" t="s">
        <v>50</v>
      </c>
      <c r="E57" s="6"/>
      <c r="F57" s="23">
        <f>IF(B127*B52&lt;B134,0,IF(B133=0,B131*B127*B52,IF(OR(B77="1",B77="y",B77="Y",B77="yes",B77="YES",B77="Yes",B77="true",B77="TRUE",B77="True"),IF(B21+B22&gt;B133,0,B131*MIN(B133-B21-B22,B127*B52)),IF(B21&gt;B133,0,B131*MIN(B133-B21,B127*B52)))))</f>
        <v>0</v>
      </c>
      <c r="G57" s="24"/>
      <c r="H57" s="25" t="s">
        <v>44</v>
      </c>
      <c r="I57" s="6"/>
      <c r="J57" s="27">
        <v>0</v>
      </c>
      <c r="K57" s="24"/>
      <c r="L57" s="25" t="s">
        <v>98</v>
      </c>
      <c r="M57" s="6"/>
      <c r="N57" s="27">
        <v>0</v>
      </c>
      <c r="O57" s="24"/>
      <c r="P57" s="25" t="s">
        <v>98</v>
      </c>
      <c r="Q57" s="4"/>
      <c r="R57" s="6"/>
      <c r="S57" s="7"/>
      <c r="T57" s="1"/>
      <c r="U57" s="1"/>
      <c r="V57" s="1"/>
      <c r="W57" s="1"/>
      <c r="X57" s="1"/>
      <c r="Y57" s="1"/>
    </row>
    <row r="58" spans="2:25" x14ac:dyDescent="0.2">
      <c r="B58" s="23">
        <f>(0*B51*B143)+F32</f>
        <v>0</v>
      </c>
      <c r="C58" s="14"/>
      <c r="D58" s="25" t="s">
        <v>49</v>
      </c>
      <c r="E58" s="1"/>
      <c r="F58" s="23">
        <f>IF(B127*B52&lt;B134,0,IF(B128=0,MAX(0,B126*B127*B52),IF(B128&lt;=MAX(0,B126*B127*B52),B128,MAX(0,B126*B127*B52))))</f>
        <v>0</v>
      </c>
      <c r="G58" s="24"/>
      <c r="H58" s="25" t="s">
        <v>45</v>
      </c>
      <c r="I58" s="1"/>
      <c r="J58" s="27">
        <v>0</v>
      </c>
      <c r="K58" s="24"/>
      <c r="L58" s="25" t="s">
        <v>99</v>
      </c>
      <c r="M58" s="6"/>
      <c r="N58" s="27">
        <v>0</v>
      </c>
      <c r="O58" s="24"/>
      <c r="P58" s="25" t="s">
        <v>99</v>
      </c>
      <c r="Q58" s="4"/>
      <c r="R58" s="6"/>
      <c r="S58" s="7"/>
      <c r="T58" s="1"/>
      <c r="U58" s="1"/>
      <c r="V58" s="1"/>
      <c r="W58" s="1"/>
      <c r="X58" s="1"/>
      <c r="Y58" s="1"/>
    </row>
    <row r="59" spans="2:25" x14ac:dyDescent="0.2">
      <c r="B59" s="23">
        <f>MAX(0,F31-B43-B57)+MAX(0,F32-B58)</f>
        <v>0</v>
      </c>
      <c r="C59" s="24"/>
      <c r="D59" s="25" t="s">
        <v>152</v>
      </c>
      <c r="E59" s="1"/>
      <c r="F59" s="23">
        <f>F57+F58</f>
        <v>0</v>
      </c>
      <c r="G59" s="24"/>
      <c r="H59" s="25" t="s">
        <v>47</v>
      </c>
      <c r="I59" s="1"/>
      <c r="J59" s="27">
        <v>0</v>
      </c>
      <c r="K59" s="24"/>
      <c r="L59" s="25" t="s">
        <v>102</v>
      </c>
      <c r="M59" s="6"/>
      <c r="N59" s="27">
        <v>0</v>
      </c>
      <c r="O59" s="24"/>
      <c r="P59" s="25" t="s">
        <v>102</v>
      </c>
      <c r="Q59" s="4"/>
      <c r="R59" s="6"/>
      <c r="S59" s="7"/>
    </row>
    <row r="60" spans="2:25" x14ac:dyDescent="0.2">
      <c r="B60" s="23">
        <f>MAX(0,MIN(B51*B144,SUM(F28:F29))-(B51*B145)-MIN(B146*SUM(F28:F29),MAX(0,B146*(B51+SUM(F28:F29)-B98))))</f>
        <v>0</v>
      </c>
      <c r="D60" s="25" t="s">
        <v>15</v>
      </c>
      <c r="E60" s="1"/>
      <c r="F60" s="50"/>
      <c r="G60" s="34"/>
      <c r="H60" s="51"/>
      <c r="I60" s="1"/>
      <c r="J60" s="27">
        <v>0</v>
      </c>
      <c r="K60" s="24"/>
      <c r="L60" s="25" t="s">
        <v>103</v>
      </c>
      <c r="M60" s="6"/>
      <c r="N60" s="27">
        <v>0</v>
      </c>
      <c r="O60" s="24"/>
      <c r="P60" s="25" t="s">
        <v>103</v>
      </c>
      <c r="Q60" s="4"/>
      <c r="R60" s="6"/>
      <c r="S60" s="7"/>
    </row>
    <row r="61" spans="2:25" x14ac:dyDescent="0.2">
      <c r="B61" s="23">
        <f>MIN(B148,SUM(F22:F26))</f>
        <v>0</v>
      </c>
      <c r="D61" s="25" t="s">
        <v>249</v>
      </c>
      <c r="E61" s="1"/>
      <c r="F61" s="52">
        <f>F49+F50+F52+F53-F55+F59</f>
        <v>0</v>
      </c>
      <c r="G61" s="24"/>
      <c r="H61" s="25" t="s">
        <v>165</v>
      </c>
      <c r="I61" s="1"/>
      <c r="J61" s="23"/>
      <c r="K61" s="24"/>
      <c r="L61" s="29"/>
      <c r="M61" s="6"/>
      <c r="N61" s="23"/>
      <c r="O61" s="24"/>
      <c r="P61" s="29"/>
      <c r="Q61" s="4"/>
      <c r="R61" s="6"/>
      <c r="S61" s="7"/>
    </row>
    <row r="62" spans="2:25" ht="13.5" thickBot="1" x14ac:dyDescent="0.25">
      <c r="B62" s="66">
        <f>B38-F51-F54-F62-F22-F23</f>
        <v>0</v>
      </c>
      <c r="C62" s="31"/>
      <c r="D62" s="32" t="s">
        <v>58</v>
      </c>
      <c r="F62" s="74">
        <f>IF(OR(B78="1",B78="y",B78="Y",B78="yes",B78="YES",B78="Yes",B78="true",B78="TRUE",B78="True"),ROUND(F61+N29,0),F61+N29)</f>
        <v>0</v>
      </c>
      <c r="G62" s="14"/>
      <c r="H62" s="53" t="s">
        <v>168</v>
      </c>
      <c r="I62" s="6"/>
      <c r="J62" s="47">
        <f>SUM(J49:J60)</f>
        <v>0</v>
      </c>
      <c r="K62" s="31"/>
      <c r="L62" s="32" t="s">
        <v>25</v>
      </c>
      <c r="M62" s="6"/>
      <c r="N62" s="47">
        <f>SUM(N49:N60)</f>
        <v>0</v>
      </c>
      <c r="O62" s="31"/>
      <c r="P62" s="32" t="s">
        <v>26</v>
      </c>
      <c r="Q62" s="4"/>
      <c r="R62" s="6"/>
      <c r="S62" s="7"/>
    </row>
    <row r="63" spans="2:25" x14ac:dyDescent="0.2">
      <c r="F63" s="36"/>
      <c r="G63" s="14"/>
      <c r="H63" s="37"/>
      <c r="I63" s="6"/>
      <c r="J63" s="4"/>
      <c r="K63" s="6"/>
      <c r="L63" s="7"/>
      <c r="M63" s="6"/>
      <c r="N63" s="4"/>
      <c r="O63" s="6"/>
      <c r="P63" s="7"/>
      <c r="Q63" s="4"/>
      <c r="R63" s="6"/>
      <c r="S63" s="7"/>
    </row>
    <row r="64" spans="2:25" ht="13.5" thickBot="1" x14ac:dyDescent="0.25">
      <c r="B64" s="8" t="s">
        <v>226</v>
      </c>
      <c r="F64" s="27">
        <v>0</v>
      </c>
      <c r="G64" s="24"/>
      <c r="H64" s="25" t="s">
        <v>34</v>
      </c>
      <c r="I64" s="6"/>
      <c r="J64" s="8" t="s">
        <v>82</v>
      </c>
      <c r="K64" s="6"/>
      <c r="L64" s="7"/>
      <c r="M64" s="6"/>
      <c r="N64" s="4"/>
      <c r="O64" s="6"/>
      <c r="P64" s="7"/>
      <c r="Q64" s="4"/>
      <c r="R64" s="6"/>
      <c r="S64" s="7"/>
    </row>
    <row r="65" spans="2:19" x14ac:dyDescent="0.2">
      <c r="B65" s="91">
        <f>B23-B42-B43+B36</f>
        <v>0</v>
      </c>
      <c r="C65" s="92"/>
      <c r="D65" s="93" t="s">
        <v>234</v>
      </c>
      <c r="F65" s="27">
        <v>0</v>
      </c>
      <c r="G65" s="24"/>
      <c r="H65" s="25" t="s">
        <v>112</v>
      </c>
      <c r="I65" s="6"/>
      <c r="J65" s="33">
        <v>0</v>
      </c>
      <c r="K65" s="21"/>
      <c r="L65" s="22" t="s">
        <v>87</v>
      </c>
      <c r="M65" s="6"/>
      <c r="N65" s="4"/>
      <c r="O65" s="6"/>
      <c r="P65" s="7"/>
      <c r="Q65" s="4"/>
      <c r="R65" s="6"/>
      <c r="S65" s="7"/>
    </row>
    <row r="66" spans="2:19" x14ac:dyDescent="0.2">
      <c r="B66" s="67">
        <f>MAX(0,MIN(1,(((B51-F38-F42)-ROUND(B164*B161,-1))/B162)))</f>
        <v>0</v>
      </c>
      <c r="C66" s="19"/>
      <c r="D66" s="90" t="s">
        <v>235</v>
      </c>
      <c r="F66" s="27">
        <v>0</v>
      </c>
      <c r="G66" s="24"/>
      <c r="H66" s="25" t="s">
        <v>17</v>
      </c>
      <c r="I66" s="6"/>
      <c r="J66" s="27">
        <v>0</v>
      </c>
      <c r="K66" s="24"/>
      <c r="L66" s="25" t="s">
        <v>89</v>
      </c>
      <c r="M66" s="6"/>
      <c r="N66" s="4"/>
      <c r="O66" s="6"/>
      <c r="P66" s="7"/>
      <c r="Q66" s="4"/>
      <c r="R66" s="6"/>
      <c r="S66" s="7"/>
    </row>
    <row r="67" spans="2:19" x14ac:dyDescent="0.2">
      <c r="B67" s="23">
        <f>B65*(1-(B66*IF(OR(B81="1",B81="y",B81="Y",B81="yes",B81="YES",B81="Yes",B81="true",B81="TRUE",B81="True"),1,0)))</f>
        <v>0</v>
      </c>
      <c r="C67" s="19"/>
      <c r="D67" s="90" t="s">
        <v>236</v>
      </c>
      <c r="F67" s="23">
        <f>IF(B119&gt;B51,B118*B79,MAX(0,(B118*B79)-CEILING((B51-B119),B120)*B121))</f>
        <v>0</v>
      </c>
      <c r="G67" s="15"/>
      <c r="H67" s="25" t="s">
        <v>111</v>
      </c>
      <c r="I67" s="6"/>
      <c r="J67" s="27">
        <v>0</v>
      </c>
      <c r="K67" s="24"/>
      <c r="L67" s="25" t="s">
        <v>90</v>
      </c>
      <c r="M67" s="6"/>
      <c r="N67" s="4"/>
      <c r="O67" s="6"/>
      <c r="P67" s="7"/>
      <c r="Q67" s="4"/>
      <c r="R67" s="6"/>
      <c r="S67" s="7"/>
    </row>
    <row r="68" spans="2:19" x14ac:dyDescent="0.2">
      <c r="B68" s="94">
        <f>B67+B35</f>
        <v>0</v>
      </c>
      <c r="C68" s="19"/>
      <c r="D68" s="95" t="s">
        <v>237</v>
      </c>
      <c r="F68" s="54">
        <f>IF(OR(B78="1",B78="y",B78="Y",B78="yes",B78="YES",B78="Yes",B78="true",B78="TRUE",B78="True"),ROUND(MAX(0,F62-F67)-(F64+F66+MIN(F65,N29)),0),MAX(0,F62-F67)-(F64+F66+MIN(F65,N29)))</f>
        <v>0</v>
      </c>
      <c r="G68" s="24"/>
      <c r="H68" s="25" t="s">
        <v>37</v>
      </c>
      <c r="I68" s="6"/>
      <c r="J68" s="27">
        <v>0</v>
      </c>
      <c r="K68" s="24"/>
      <c r="L68" s="25" t="s">
        <v>92</v>
      </c>
      <c r="M68" s="6"/>
      <c r="N68" s="4"/>
      <c r="O68" s="6"/>
      <c r="P68" s="7"/>
      <c r="Q68" s="4"/>
      <c r="R68" s="6"/>
      <c r="S68" s="7"/>
    </row>
    <row r="69" spans="2:19" x14ac:dyDescent="0.2">
      <c r="B69" s="23">
        <f>B51-F38-F42-B29-MIN(B31,IF(B31&gt;0,SUM(B30:B31)))</f>
        <v>-16100</v>
      </c>
      <c r="C69" s="19"/>
      <c r="D69" s="95" t="s">
        <v>238</v>
      </c>
      <c r="F69" s="23">
        <f>J78</f>
        <v>0</v>
      </c>
      <c r="G69" s="24"/>
      <c r="H69" s="25" t="s">
        <v>40</v>
      </c>
      <c r="I69" s="6"/>
      <c r="J69" s="27">
        <v>0</v>
      </c>
      <c r="K69" s="24"/>
      <c r="L69" s="25" t="s">
        <v>93</v>
      </c>
      <c r="M69" s="6"/>
      <c r="N69" s="4"/>
      <c r="O69" s="6"/>
      <c r="P69" s="7"/>
      <c r="Q69" s="4"/>
      <c r="R69" s="6"/>
      <c r="S69" s="7"/>
    </row>
    <row r="70" spans="2:19" ht="13.5" thickBot="1" x14ac:dyDescent="0.25">
      <c r="B70" s="73">
        <f>MAX(0,B163*(MIN(B68,B69)),IF(MIN(B68,B69)&lt;B165,0,B166))</f>
        <v>0</v>
      </c>
      <c r="C70" s="96"/>
      <c r="D70" s="32" t="s">
        <v>225</v>
      </c>
      <c r="F70" s="80">
        <f>IF(OR(B78="1",B78="y",B78="Y",B78="yes",B78="YES",B78="Yes",B78="true",B78="TRUE",B78="True"),ROUND(F68-F69,0),F68-F69)</f>
        <v>0</v>
      </c>
      <c r="G70" s="31"/>
      <c r="H70" s="32" t="s">
        <v>51</v>
      </c>
      <c r="I70" s="6"/>
      <c r="J70" s="27">
        <v>0</v>
      </c>
      <c r="K70" s="24"/>
      <c r="L70" s="25" t="s">
        <v>94</v>
      </c>
      <c r="M70" s="6"/>
      <c r="N70" s="4"/>
      <c r="O70" s="6"/>
      <c r="P70" s="7"/>
      <c r="Q70" s="4"/>
      <c r="R70" s="6"/>
      <c r="S70" s="7"/>
    </row>
    <row r="71" spans="2:19" ht="13.5" thickBot="1" x14ac:dyDescent="0.25">
      <c r="B71" s="69"/>
      <c r="C71" s="70"/>
      <c r="D71" s="69"/>
      <c r="E71" s="71"/>
      <c r="F71" s="69"/>
      <c r="G71" s="70"/>
      <c r="H71" s="69"/>
      <c r="I71" s="6"/>
      <c r="J71" s="27">
        <v>0</v>
      </c>
      <c r="K71" s="24"/>
      <c r="L71" s="25" t="s">
        <v>95</v>
      </c>
      <c r="M71" s="6"/>
      <c r="N71" s="4"/>
      <c r="O71" s="6"/>
      <c r="P71" s="7"/>
      <c r="Q71" s="4"/>
      <c r="R71" s="6"/>
      <c r="S71" s="7"/>
    </row>
    <row r="72" spans="2:19" ht="13.5" thickTop="1" x14ac:dyDescent="0.2">
      <c r="I72" s="6"/>
      <c r="J72" s="27">
        <v>0</v>
      </c>
      <c r="K72" s="24"/>
      <c r="L72" s="25" t="s">
        <v>96</v>
      </c>
      <c r="M72" s="6"/>
      <c r="N72" s="4"/>
      <c r="O72" s="6"/>
      <c r="P72" s="7"/>
    </row>
    <row r="73" spans="2:19" ht="13.5" thickBot="1" x14ac:dyDescent="0.25">
      <c r="B73" s="8" t="s">
        <v>56</v>
      </c>
      <c r="C73" s="6"/>
      <c r="D73" s="7"/>
      <c r="E73" s="6"/>
      <c r="F73" s="8" t="s">
        <v>48</v>
      </c>
      <c r="G73" s="6"/>
      <c r="H73" s="7"/>
      <c r="I73" s="6"/>
      <c r="J73" s="27">
        <v>0</v>
      </c>
      <c r="K73" s="24"/>
      <c r="L73" s="25" t="s">
        <v>98</v>
      </c>
      <c r="M73" s="6"/>
      <c r="N73" s="4"/>
      <c r="O73" s="6"/>
      <c r="P73" s="7"/>
    </row>
    <row r="74" spans="2:19" x14ac:dyDescent="0.2">
      <c r="B74" s="68">
        <v>1</v>
      </c>
      <c r="C74" s="21"/>
      <c r="D74" s="22" t="s">
        <v>9</v>
      </c>
      <c r="E74" s="6"/>
      <c r="F74" s="55" t="s">
        <v>113</v>
      </c>
      <c r="G74" s="21"/>
      <c r="H74" s="22" t="s">
        <v>114</v>
      </c>
      <c r="I74" s="6"/>
      <c r="J74" s="27">
        <v>0</v>
      </c>
      <c r="K74" s="24"/>
      <c r="L74" s="25" t="s">
        <v>99</v>
      </c>
      <c r="M74" s="6"/>
      <c r="N74" s="4"/>
      <c r="O74" s="6"/>
      <c r="P74" s="7"/>
    </row>
    <row r="75" spans="2:19" x14ac:dyDescent="0.2">
      <c r="B75" s="72">
        <v>0</v>
      </c>
      <c r="C75" s="24"/>
      <c r="D75" s="25" t="s">
        <v>242</v>
      </c>
      <c r="E75" s="6"/>
      <c r="F75" s="56"/>
      <c r="G75" s="24"/>
      <c r="H75" s="25" t="s">
        <v>115</v>
      </c>
      <c r="I75" s="6"/>
      <c r="J75" s="27">
        <v>0</v>
      </c>
      <c r="K75" s="24"/>
      <c r="L75" s="25" t="s">
        <v>102</v>
      </c>
      <c r="M75" s="6"/>
      <c r="N75" s="4"/>
      <c r="O75" s="6"/>
      <c r="P75" s="7"/>
    </row>
    <row r="76" spans="2:19" x14ac:dyDescent="0.2">
      <c r="B76" s="72">
        <v>0</v>
      </c>
      <c r="C76" s="24"/>
      <c r="D76" s="25" t="s">
        <v>241</v>
      </c>
      <c r="E76" s="6"/>
      <c r="F76" s="57"/>
      <c r="G76" s="24"/>
      <c r="H76" s="25" t="s">
        <v>116</v>
      </c>
      <c r="I76" s="6"/>
      <c r="J76" s="27">
        <v>0</v>
      </c>
      <c r="K76" s="24"/>
      <c r="L76" s="25" t="s">
        <v>103</v>
      </c>
      <c r="M76" s="6"/>
      <c r="N76" s="4"/>
      <c r="O76" s="6"/>
      <c r="P76" s="7"/>
    </row>
    <row r="77" spans="2:19" x14ac:dyDescent="0.2">
      <c r="B77" s="75" t="s">
        <v>156</v>
      </c>
      <c r="C77" s="14"/>
      <c r="D77" s="25" t="s">
        <v>157</v>
      </c>
      <c r="E77" s="6"/>
      <c r="F77" s="58"/>
      <c r="G77" s="24"/>
      <c r="H77" s="25" t="s">
        <v>117</v>
      </c>
      <c r="I77" s="6"/>
      <c r="J77" s="23"/>
      <c r="K77" s="24"/>
      <c r="L77" s="29"/>
      <c r="M77" s="6"/>
      <c r="N77" s="4"/>
      <c r="O77" s="6"/>
      <c r="P77" s="7"/>
    </row>
    <row r="78" spans="2:19" ht="13.5" thickBot="1" x14ac:dyDescent="0.25">
      <c r="B78" s="75" t="s">
        <v>158</v>
      </c>
      <c r="C78" s="14"/>
      <c r="D78" s="25" t="s">
        <v>16</v>
      </c>
      <c r="E78" s="6"/>
      <c r="F78" s="59"/>
      <c r="G78" s="24"/>
      <c r="H78" s="25" t="s">
        <v>75</v>
      </c>
      <c r="I78" s="6"/>
      <c r="J78" s="49">
        <f>SUM(J65:J76)</f>
        <v>0</v>
      </c>
      <c r="K78" s="31"/>
      <c r="L78" s="32" t="s">
        <v>104</v>
      </c>
      <c r="M78" s="1"/>
      <c r="N78" s="3"/>
      <c r="O78" s="1"/>
      <c r="P78" s="2"/>
    </row>
    <row r="79" spans="2:19" x14ac:dyDescent="0.2">
      <c r="B79" s="77">
        <f>B74-1</f>
        <v>0</v>
      </c>
      <c r="C79" s="24"/>
      <c r="D79" s="25" t="s">
        <v>135</v>
      </c>
      <c r="E79" s="6"/>
      <c r="F79" s="60" t="s">
        <v>118</v>
      </c>
      <c r="G79" s="24"/>
      <c r="H79" s="25" t="s">
        <v>119</v>
      </c>
      <c r="I79" s="6"/>
      <c r="J79" s="3"/>
      <c r="K79" s="1"/>
      <c r="L79" s="2"/>
      <c r="M79" s="1"/>
      <c r="N79" s="3"/>
      <c r="O79" s="1"/>
      <c r="P79" s="2"/>
    </row>
    <row r="80" spans="2:19" x14ac:dyDescent="0.2">
      <c r="B80" s="75" t="s">
        <v>156</v>
      </c>
      <c r="C80" s="14"/>
      <c r="D80" s="25" t="s">
        <v>224</v>
      </c>
      <c r="E80" s="6"/>
      <c r="F80" s="61" t="s">
        <v>120</v>
      </c>
      <c r="G80" s="24"/>
      <c r="H80" s="25" t="s">
        <v>121</v>
      </c>
      <c r="I80" s="6"/>
      <c r="J80" s="3"/>
      <c r="K80" s="1"/>
      <c r="L80" s="2"/>
      <c r="M80" s="1"/>
      <c r="N80" s="3"/>
      <c r="O80" s="1"/>
      <c r="P80" s="2"/>
    </row>
    <row r="81" spans="2:16" x14ac:dyDescent="0.2">
      <c r="B81" s="75" t="s">
        <v>156</v>
      </c>
      <c r="C81" s="14"/>
      <c r="D81" s="90" t="s">
        <v>229</v>
      </c>
      <c r="E81" s="6"/>
      <c r="F81" s="62" t="s">
        <v>122</v>
      </c>
      <c r="G81" s="24"/>
      <c r="H81" s="25" t="s">
        <v>123</v>
      </c>
      <c r="I81" s="6"/>
      <c r="J81" s="3"/>
      <c r="K81" s="1"/>
      <c r="L81" s="2"/>
      <c r="M81" s="1"/>
      <c r="N81" s="3"/>
      <c r="O81" s="1"/>
      <c r="P81" s="2"/>
    </row>
    <row r="82" spans="2:16" x14ac:dyDescent="0.2">
      <c r="B82" s="67">
        <v>0.1</v>
      </c>
      <c r="C82" s="24"/>
      <c r="D82" s="25" t="s">
        <v>70</v>
      </c>
      <c r="E82" s="6"/>
      <c r="F82" s="63" t="s">
        <v>124</v>
      </c>
      <c r="G82" s="24"/>
      <c r="H82" s="25" t="s">
        <v>125</v>
      </c>
      <c r="I82" s="6"/>
      <c r="J82" s="3"/>
      <c r="K82" s="1"/>
      <c r="L82" s="2"/>
      <c r="M82" s="1"/>
      <c r="N82" s="3"/>
      <c r="O82" s="1"/>
      <c r="P82" s="2"/>
    </row>
    <row r="83" spans="2:16" x14ac:dyDescent="0.2">
      <c r="B83" s="23">
        <v>12400</v>
      </c>
      <c r="C83" s="24"/>
      <c r="D83" s="25" t="s">
        <v>187</v>
      </c>
      <c r="E83" s="6"/>
      <c r="F83" s="23">
        <v>0</v>
      </c>
      <c r="G83" s="24"/>
      <c r="H83" s="25" t="s">
        <v>126</v>
      </c>
      <c r="I83" s="6"/>
      <c r="J83" s="3"/>
      <c r="K83" s="1"/>
      <c r="L83" s="2"/>
      <c r="M83" s="1"/>
      <c r="N83" s="3"/>
      <c r="O83" s="1"/>
      <c r="P83" s="2"/>
    </row>
    <row r="84" spans="2:16" x14ac:dyDescent="0.2">
      <c r="B84" s="23">
        <v>1240</v>
      </c>
      <c r="C84" s="24"/>
      <c r="D84" s="25" t="s">
        <v>188</v>
      </c>
      <c r="E84" s="6"/>
      <c r="F84" s="23">
        <v>123.45</v>
      </c>
      <c r="G84" s="24"/>
      <c r="H84" s="25" t="s">
        <v>127</v>
      </c>
      <c r="I84" s="6"/>
      <c r="J84" s="3"/>
      <c r="K84" s="1"/>
      <c r="L84" s="2"/>
      <c r="M84" s="1"/>
      <c r="N84" s="3"/>
      <c r="O84" s="1"/>
      <c r="P84" s="2"/>
    </row>
    <row r="85" spans="2:16" x14ac:dyDescent="0.2">
      <c r="B85" s="67">
        <v>0.12</v>
      </c>
      <c r="C85" s="24"/>
      <c r="D85" s="25" t="s">
        <v>189</v>
      </c>
      <c r="E85" s="6"/>
      <c r="F85" s="23">
        <v>-123.45</v>
      </c>
      <c r="G85" s="24"/>
      <c r="H85" s="25" t="s">
        <v>128</v>
      </c>
      <c r="I85" s="6"/>
      <c r="J85" s="4"/>
      <c r="K85" s="6"/>
      <c r="L85" s="11"/>
      <c r="M85" s="6"/>
      <c r="N85" s="4"/>
      <c r="O85" s="6"/>
      <c r="P85" s="7"/>
    </row>
    <row r="86" spans="2:16" ht="13.5" thickBot="1" x14ac:dyDescent="0.25">
      <c r="B86" s="23">
        <v>50400</v>
      </c>
      <c r="C86" s="24"/>
      <c r="D86" s="25" t="s">
        <v>190</v>
      </c>
      <c r="E86" s="6"/>
      <c r="F86" s="64">
        <v>2.9000000000000001E-2</v>
      </c>
      <c r="G86" s="31"/>
      <c r="H86" s="32" t="s">
        <v>129</v>
      </c>
      <c r="I86" s="6"/>
      <c r="J86" s="4"/>
      <c r="K86" s="6"/>
      <c r="L86" s="7"/>
      <c r="M86" s="6"/>
      <c r="N86" s="4"/>
      <c r="O86" s="6"/>
      <c r="P86" s="7"/>
    </row>
    <row r="87" spans="2:16" x14ac:dyDescent="0.2">
      <c r="B87" s="23">
        <v>5800</v>
      </c>
      <c r="C87" s="24"/>
      <c r="D87" s="25" t="s">
        <v>191</v>
      </c>
      <c r="E87" s="6"/>
      <c r="F87"/>
      <c r="G87"/>
      <c r="H87"/>
      <c r="I87" s="6"/>
      <c r="J87" s="4"/>
      <c r="K87" s="6"/>
      <c r="L87" s="7"/>
      <c r="M87" s="6"/>
      <c r="N87" s="4"/>
      <c r="O87" s="6"/>
      <c r="P87" s="7"/>
    </row>
    <row r="88" spans="2:16" x14ac:dyDescent="0.2">
      <c r="B88" s="67">
        <v>0.22</v>
      </c>
      <c r="C88" s="24"/>
      <c r="D88" s="25" t="s">
        <v>192</v>
      </c>
      <c r="E88" s="6"/>
      <c r="F88"/>
      <c r="G88"/>
      <c r="H88"/>
      <c r="I88" s="6"/>
      <c r="J88" s="4"/>
      <c r="K88" s="6"/>
      <c r="L88" s="7"/>
      <c r="M88" s="6"/>
      <c r="N88" s="4"/>
      <c r="O88" s="6"/>
      <c r="P88" s="7"/>
    </row>
    <row r="89" spans="2:16" x14ac:dyDescent="0.2">
      <c r="B89" s="23">
        <v>105700</v>
      </c>
      <c r="C89" s="24"/>
      <c r="D89" s="25" t="s">
        <v>193</v>
      </c>
      <c r="E89" s="6"/>
      <c r="F89"/>
      <c r="G89"/>
      <c r="H89"/>
      <c r="I89" s="6"/>
      <c r="J89" s="4"/>
      <c r="K89" s="6"/>
      <c r="L89" s="7"/>
      <c r="M89" s="6"/>
      <c r="N89" s="4"/>
      <c r="O89" s="6"/>
      <c r="P89" s="7"/>
    </row>
    <row r="90" spans="2:16" x14ac:dyDescent="0.2">
      <c r="B90" s="23">
        <v>17966</v>
      </c>
      <c r="C90" s="24"/>
      <c r="D90" s="25" t="s">
        <v>194</v>
      </c>
      <c r="E90" s="6"/>
      <c r="F90"/>
      <c r="G90"/>
      <c r="H90"/>
      <c r="I90" s="6"/>
      <c r="J90" s="4"/>
      <c r="K90" s="6"/>
      <c r="L90" s="7"/>
      <c r="M90" s="6"/>
      <c r="N90" s="4"/>
      <c r="O90" s="6"/>
      <c r="P90" s="7"/>
    </row>
    <row r="91" spans="2:16" x14ac:dyDescent="0.2">
      <c r="B91" s="67">
        <v>0.24</v>
      </c>
      <c r="C91" s="24"/>
      <c r="D91" s="25" t="s">
        <v>195</v>
      </c>
      <c r="E91" s="6"/>
      <c r="F91"/>
      <c r="G91"/>
      <c r="H91"/>
      <c r="I91" s="6"/>
      <c r="J91" s="4"/>
      <c r="K91" s="6"/>
      <c r="L91" s="7"/>
      <c r="M91" s="1"/>
      <c r="N91" s="3"/>
      <c r="O91" s="1"/>
      <c r="P91" s="2"/>
    </row>
    <row r="92" spans="2:16" x14ac:dyDescent="0.2">
      <c r="B92" s="23">
        <v>201775</v>
      </c>
      <c r="C92" s="24"/>
      <c r="D92" s="25" t="s">
        <v>196</v>
      </c>
      <c r="E92" s="6"/>
      <c r="F92"/>
      <c r="G92"/>
      <c r="H92"/>
      <c r="I92" s="6"/>
      <c r="J92" s="4"/>
      <c r="K92" s="6"/>
      <c r="L92" s="7"/>
      <c r="M92" s="1"/>
      <c r="N92" s="3"/>
      <c r="O92" s="1"/>
      <c r="P92" s="2"/>
    </row>
    <row r="93" spans="2:16" x14ac:dyDescent="0.2">
      <c r="B93" s="23">
        <v>41024</v>
      </c>
      <c r="C93" s="24"/>
      <c r="D93" s="25" t="s">
        <v>197</v>
      </c>
      <c r="E93" s="6"/>
      <c r="F93"/>
      <c r="G93"/>
      <c r="H93"/>
      <c r="I93" s="6"/>
      <c r="J93" s="4"/>
      <c r="K93" s="6"/>
      <c r="L93" s="7"/>
      <c r="M93" s="1"/>
      <c r="N93" s="3"/>
      <c r="O93" s="1"/>
      <c r="P93" s="2"/>
    </row>
    <row r="94" spans="2:16" x14ac:dyDescent="0.2">
      <c r="B94" s="67">
        <v>0.32</v>
      </c>
      <c r="C94" s="24"/>
      <c r="D94" s="25" t="s">
        <v>198</v>
      </c>
      <c r="E94" s="6"/>
      <c r="F94"/>
      <c r="G94"/>
      <c r="H94"/>
      <c r="I94" s="6"/>
      <c r="J94" s="4"/>
      <c r="K94" s="6"/>
      <c r="L94" s="7"/>
      <c r="M94" s="1"/>
      <c r="N94" s="3"/>
      <c r="O94" s="1"/>
      <c r="P94" s="2"/>
    </row>
    <row r="95" spans="2:16" x14ac:dyDescent="0.2">
      <c r="B95" s="23">
        <v>256225</v>
      </c>
      <c r="C95" s="24"/>
      <c r="D95" s="25" t="s">
        <v>14</v>
      </c>
      <c r="E95" s="6"/>
      <c r="F95"/>
      <c r="G95"/>
      <c r="H95"/>
      <c r="I95" s="1"/>
      <c r="J95" s="3"/>
      <c r="K95" s="1"/>
      <c r="L95" s="2"/>
      <c r="M95" s="1"/>
      <c r="N95" s="3"/>
      <c r="O95" s="1"/>
      <c r="P95" s="2"/>
    </row>
    <row r="96" spans="2:16" x14ac:dyDescent="0.2">
      <c r="B96" s="23">
        <v>58448</v>
      </c>
      <c r="C96" s="24"/>
      <c r="D96" s="25" t="s">
        <v>68</v>
      </c>
      <c r="E96" s="6"/>
      <c r="F96"/>
      <c r="G96"/>
      <c r="H96"/>
      <c r="I96" s="1"/>
      <c r="J96" s="3"/>
      <c r="K96" s="1"/>
      <c r="L96" s="2"/>
      <c r="M96" s="1"/>
      <c r="N96" s="3"/>
      <c r="O96" s="1"/>
      <c r="P96" s="2"/>
    </row>
    <row r="97" spans="2:16" x14ac:dyDescent="0.2">
      <c r="B97" s="67">
        <v>0.35</v>
      </c>
      <c r="C97" s="24"/>
      <c r="D97" s="25" t="s">
        <v>69</v>
      </c>
      <c r="E97" s="6"/>
      <c r="F97"/>
      <c r="G97"/>
      <c r="H97"/>
      <c r="I97" s="1"/>
      <c r="J97" s="3"/>
      <c r="K97" s="1"/>
      <c r="L97" s="2"/>
      <c r="M97" s="1"/>
      <c r="N97" s="3"/>
      <c r="O97" s="1"/>
      <c r="P97" s="2"/>
    </row>
    <row r="98" spans="2:16" x14ac:dyDescent="0.2">
      <c r="B98" s="23">
        <v>384350</v>
      </c>
      <c r="C98" s="24"/>
      <c r="D98" s="25" t="s">
        <v>199</v>
      </c>
      <c r="E98" s="6"/>
      <c r="F98"/>
      <c r="G98"/>
      <c r="H98"/>
      <c r="I98" s="1"/>
      <c r="J98" s="3"/>
      <c r="K98" s="1"/>
      <c r="L98" s="2"/>
      <c r="M98" s="1"/>
      <c r="N98" s="3"/>
      <c r="O98" s="1"/>
      <c r="P98" s="2"/>
    </row>
    <row r="99" spans="2:16" x14ac:dyDescent="0.2">
      <c r="B99" s="23">
        <v>103291.75</v>
      </c>
      <c r="C99" s="24"/>
      <c r="D99" s="25" t="s">
        <v>200</v>
      </c>
      <c r="E99" s="6"/>
      <c r="F99"/>
      <c r="G99"/>
      <c r="H99"/>
      <c r="I99" s="1"/>
      <c r="J99" s="3"/>
      <c r="K99" s="1"/>
      <c r="L99" s="2"/>
      <c r="M99" s="1"/>
      <c r="N99" s="3"/>
      <c r="O99" s="1"/>
      <c r="P99" s="2"/>
    </row>
    <row r="100" spans="2:16" x14ac:dyDescent="0.2">
      <c r="B100" s="67">
        <v>0.37</v>
      </c>
      <c r="C100" s="24"/>
      <c r="D100" s="25" t="s">
        <v>201</v>
      </c>
      <c r="E100" s="6"/>
      <c r="F100"/>
      <c r="G100"/>
      <c r="H100"/>
      <c r="I100" s="1"/>
      <c r="J100" s="3"/>
      <c r="K100" s="1"/>
      <c r="L100" s="2"/>
      <c r="M100" s="1"/>
      <c r="N100" s="3"/>
      <c r="O100" s="1"/>
      <c r="P100" s="2"/>
    </row>
    <row r="101" spans="2:16" x14ac:dyDescent="0.2">
      <c r="B101" s="67">
        <v>0</v>
      </c>
      <c r="C101" s="15"/>
      <c r="D101" s="25" t="s">
        <v>8</v>
      </c>
      <c r="E101" s="6"/>
      <c r="F101" s="4"/>
      <c r="G101" s="6"/>
      <c r="H101" s="7"/>
      <c r="I101" s="1"/>
      <c r="J101" s="3"/>
      <c r="K101" s="1"/>
      <c r="L101" s="2"/>
      <c r="M101" s="1"/>
      <c r="N101" s="3"/>
      <c r="O101" s="1"/>
      <c r="P101" s="2"/>
    </row>
    <row r="102" spans="2:16" x14ac:dyDescent="0.2">
      <c r="B102" s="23">
        <v>49450</v>
      </c>
      <c r="C102" s="15"/>
      <c r="D102" s="25" t="s">
        <v>205</v>
      </c>
      <c r="E102" s="6"/>
      <c r="F102" s="4"/>
      <c r="G102" s="6"/>
      <c r="H102" s="7"/>
      <c r="I102" s="1"/>
      <c r="J102" s="3"/>
      <c r="K102" s="1"/>
      <c r="L102" s="2"/>
      <c r="M102" s="1"/>
      <c r="N102" s="3"/>
      <c r="O102" s="1"/>
      <c r="P102" s="2"/>
    </row>
    <row r="103" spans="2:16" x14ac:dyDescent="0.2">
      <c r="B103" s="67">
        <v>0.15</v>
      </c>
      <c r="C103" s="15"/>
      <c r="D103" s="25" t="s">
        <v>206</v>
      </c>
      <c r="E103" s="6"/>
      <c r="F103" s="4"/>
      <c r="G103" s="6"/>
      <c r="H103" s="7"/>
      <c r="I103" s="1"/>
      <c r="J103" s="3"/>
      <c r="K103" s="1"/>
      <c r="L103" s="2"/>
      <c r="M103" s="1"/>
      <c r="N103" s="3"/>
      <c r="O103" s="1"/>
      <c r="P103" s="2"/>
    </row>
    <row r="104" spans="2:16" x14ac:dyDescent="0.2">
      <c r="B104" s="23">
        <v>306850</v>
      </c>
      <c r="C104" s="15"/>
      <c r="D104" s="25" t="s">
        <v>207</v>
      </c>
      <c r="E104" s="6"/>
      <c r="F104" s="4"/>
      <c r="G104" s="6"/>
      <c r="H104" s="7"/>
      <c r="I104" s="1"/>
      <c r="J104" s="3"/>
      <c r="K104" s="1"/>
      <c r="L104" s="2"/>
      <c r="M104" s="1"/>
      <c r="N104" s="3"/>
      <c r="O104" s="1"/>
      <c r="P104" s="2"/>
    </row>
    <row r="105" spans="2:16" x14ac:dyDescent="0.2">
      <c r="B105" s="67">
        <v>0.2</v>
      </c>
      <c r="C105" s="15"/>
      <c r="D105" s="25" t="s">
        <v>208</v>
      </c>
      <c r="E105" s="6"/>
      <c r="F105" s="4"/>
      <c r="G105" s="6"/>
      <c r="H105" s="7"/>
      <c r="I105" s="1"/>
      <c r="J105" s="3"/>
      <c r="K105" s="1"/>
      <c r="L105" s="2"/>
      <c r="M105" s="1"/>
      <c r="N105" s="3"/>
      <c r="O105" s="1"/>
      <c r="P105" s="2"/>
    </row>
    <row r="106" spans="2:16" x14ac:dyDescent="0.2">
      <c r="B106" s="67">
        <v>0.15</v>
      </c>
      <c r="C106" s="24"/>
      <c r="D106" s="25" t="s">
        <v>209</v>
      </c>
      <c r="E106" s="1"/>
      <c r="F106" s="3"/>
      <c r="G106" s="1"/>
      <c r="H106" s="2"/>
      <c r="I106" s="1"/>
      <c r="J106" s="3"/>
      <c r="K106" s="1"/>
      <c r="L106" s="2"/>
      <c r="M106" s="1"/>
      <c r="N106" s="3"/>
      <c r="O106" s="1"/>
      <c r="P106" s="2"/>
    </row>
    <row r="107" spans="2:16" x14ac:dyDescent="0.2">
      <c r="B107" s="67">
        <v>0.15</v>
      </c>
      <c r="C107" s="24"/>
      <c r="D107" s="25" t="s">
        <v>210</v>
      </c>
      <c r="E107" s="1"/>
      <c r="F107" s="3"/>
      <c r="G107" s="1"/>
      <c r="H107" s="2"/>
    </row>
    <row r="108" spans="2:16" x14ac:dyDescent="0.2">
      <c r="B108" s="67">
        <v>0.2</v>
      </c>
      <c r="C108" s="24"/>
      <c r="D108" s="25" t="s">
        <v>211</v>
      </c>
      <c r="E108" s="1"/>
      <c r="F108" s="3"/>
      <c r="G108" s="1"/>
      <c r="H108" s="2"/>
    </row>
    <row r="109" spans="2:16" x14ac:dyDescent="0.2">
      <c r="B109" s="23">
        <v>225000</v>
      </c>
      <c r="C109" s="24"/>
      <c r="D109" s="25" t="s">
        <v>212</v>
      </c>
      <c r="E109" s="1"/>
      <c r="F109" s="3"/>
      <c r="G109" s="1"/>
      <c r="H109" s="2"/>
    </row>
    <row r="110" spans="2:16" x14ac:dyDescent="0.2">
      <c r="B110" s="67">
        <v>3.7999999999999999E-2</v>
      </c>
      <c r="C110" s="14"/>
      <c r="D110" s="25" t="s">
        <v>179</v>
      </c>
      <c r="E110" s="1"/>
      <c r="F110" s="3"/>
      <c r="G110" s="1"/>
      <c r="H110" s="2"/>
    </row>
    <row r="111" spans="2:16" x14ac:dyDescent="0.2">
      <c r="B111" s="23">
        <v>125000</v>
      </c>
      <c r="C111" s="24"/>
      <c r="D111" s="25" t="s">
        <v>84</v>
      </c>
      <c r="E111" s="1"/>
      <c r="F111" s="3"/>
      <c r="G111" s="1"/>
      <c r="H111" s="2"/>
    </row>
    <row r="112" spans="2:16" x14ac:dyDescent="0.2">
      <c r="B112" s="23">
        <v>16100</v>
      </c>
      <c r="C112" s="24"/>
      <c r="D112" s="25" t="s">
        <v>130</v>
      </c>
      <c r="E112" s="1"/>
      <c r="F112" s="3"/>
      <c r="G112" s="1"/>
      <c r="H112" s="2"/>
    </row>
    <row r="113" spans="2:8" x14ac:dyDescent="0.2">
      <c r="B113" s="23">
        <v>1650</v>
      </c>
      <c r="C113" s="24"/>
      <c r="D113" s="25" t="s">
        <v>154</v>
      </c>
      <c r="E113" s="1"/>
      <c r="F113" s="3"/>
      <c r="G113" s="1"/>
      <c r="H113" s="2"/>
    </row>
    <row r="114" spans="2:8" x14ac:dyDescent="0.2">
      <c r="B114" s="23">
        <f>0*4050</f>
        <v>0</v>
      </c>
      <c r="C114" s="24"/>
      <c r="D114" s="25" t="s">
        <v>131</v>
      </c>
      <c r="E114" s="1"/>
      <c r="F114" s="3"/>
      <c r="G114" s="1"/>
      <c r="H114" s="2"/>
    </row>
    <row r="115" spans="2:8" x14ac:dyDescent="0.2">
      <c r="B115" s="23">
        <v>1250</v>
      </c>
      <c r="C115" s="24"/>
      <c r="D115" s="25" t="s">
        <v>132</v>
      </c>
      <c r="E115" s="1"/>
      <c r="F115" s="3"/>
      <c r="G115" s="1"/>
      <c r="H115" s="2"/>
    </row>
    <row r="116" spans="2:8" x14ac:dyDescent="0.2">
      <c r="B116" s="23">
        <v>160000</v>
      </c>
      <c r="C116" s="24"/>
      <c r="D116" s="25" t="s">
        <v>10</v>
      </c>
      <c r="E116" s="1"/>
      <c r="F116" s="3"/>
      <c r="G116" s="1"/>
      <c r="H116" s="2"/>
    </row>
    <row r="117" spans="2:8" x14ac:dyDescent="0.2">
      <c r="B117" s="67">
        <f>2%</f>
        <v>0.02</v>
      </c>
      <c r="C117" s="24"/>
      <c r="D117" s="25" t="s">
        <v>11</v>
      </c>
      <c r="E117" s="1"/>
      <c r="F117" s="3"/>
      <c r="G117" s="1"/>
      <c r="H117" s="2"/>
    </row>
    <row r="118" spans="2:8" x14ac:dyDescent="0.2">
      <c r="B118" s="23">
        <v>2200</v>
      </c>
      <c r="C118" s="24"/>
      <c r="D118" s="25" t="s">
        <v>107</v>
      </c>
    </row>
    <row r="119" spans="2:8" x14ac:dyDescent="0.2">
      <c r="B119" s="23">
        <v>200000</v>
      </c>
      <c r="C119" s="24"/>
      <c r="D119" s="25" t="s">
        <v>108</v>
      </c>
    </row>
    <row r="120" spans="2:8" x14ac:dyDescent="0.2">
      <c r="B120" s="23">
        <v>1000</v>
      </c>
      <c r="C120" s="24"/>
      <c r="D120" s="25" t="s">
        <v>109</v>
      </c>
    </row>
    <row r="121" spans="2:8" x14ac:dyDescent="0.2">
      <c r="B121" s="67">
        <v>0.05</v>
      </c>
      <c r="C121" s="24"/>
      <c r="D121" s="25" t="s">
        <v>110</v>
      </c>
    </row>
    <row r="122" spans="2:8" x14ac:dyDescent="0.2">
      <c r="B122" s="23">
        <v>160000</v>
      </c>
      <c r="C122" s="14"/>
      <c r="D122" s="25" t="s">
        <v>178</v>
      </c>
    </row>
    <row r="123" spans="2:8" x14ac:dyDescent="0.2">
      <c r="B123" s="67">
        <f>0*3%</f>
        <v>0</v>
      </c>
      <c r="C123" s="24"/>
      <c r="D123" s="25" t="s">
        <v>12</v>
      </c>
    </row>
    <row r="124" spans="2:8" x14ac:dyDescent="0.2">
      <c r="B124" s="67">
        <f>80%</f>
        <v>0.8</v>
      </c>
      <c r="C124" s="24"/>
      <c r="D124" s="25" t="s">
        <v>12</v>
      </c>
    </row>
    <row r="125" spans="2:8" x14ac:dyDescent="0.2">
      <c r="B125" s="23">
        <f>1000*0</f>
        <v>0</v>
      </c>
      <c r="C125" s="24"/>
      <c r="D125" s="25" t="s">
        <v>239</v>
      </c>
    </row>
    <row r="126" spans="2:8" x14ac:dyDescent="0.2">
      <c r="B126" s="67">
        <v>2.9000000000000001E-2</v>
      </c>
      <c r="C126" s="24"/>
      <c r="D126" s="25" t="s">
        <v>13</v>
      </c>
    </row>
    <row r="127" spans="2:8" x14ac:dyDescent="0.2">
      <c r="B127" s="67">
        <v>0.92349999999999999</v>
      </c>
      <c r="C127" s="24"/>
      <c r="D127" s="25" t="s">
        <v>18</v>
      </c>
    </row>
    <row r="128" spans="2:8" x14ac:dyDescent="0.2">
      <c r="B128" s="23">
        <v>0</v>
      </c>
      <c r="C128" s="24"/>
      <c r="D128" s="25" t="s">
        <v>19</v>
      </c>
    </row>
    <row r="129" spans="2:4" x14ac:dyDescent="0.2">
      <c r="B129" s="67">
        <f>B126/2</f>
        <v>1.4500000000000001E-2</v>
      </c>
      <c r="C129" s="14"/>
      <c r="D129" s="25" t="s">
        <v>57</v>
      </c>
    </row>
    <row r="130" spans="2:4" x14ac:dyDescent="0.2">
      <c r="B130" s="67">
        <v>8.9999999999999993E-3</v>
      </c>
      <c r="C130" s="14"/>
      <c r="D130" s="25" t="s">
        <v>85</v>
      </c>
    </row>
    <row r="131" spans="2:4" x14ac:dyDescent="0.2">
      <c r="B131" s="67">
        <v>0.124</v>
      </c>
      <c r="C131" s="24"/>
      <c r="D131" s="25" t="s">
        <v>134</v>
      </c>
    </row>
    <row r="132" spans="2:4" x14ac:dyDescent="0.2">
      <c r="B132" s="23">
        <f>B133*B131</f>
        <v>22878</v>
      </c>
      <c r="C132" s="24"/>
      <c r="D132" s="25" t="s">
        <v>20</v>
      </c>
    </row>
    <row r="133" spans="2:4" x14ac:dyDescent="0.2">
      <c r="B133" s="23">
        <v>184500</v>
      </c>
      <c r="C133" s="24"/>
      <c r="D133" s="25" t="s">
        <v>21</v>
      </c>
    </row>
    <row r="134" spans="2:4" x14ac:dyDescent="0.2">
      <c r="B134" s="23">
        <v>400</v>
      </c>
      <c r="C134" s="24"/>
      <c r="D134" s="25" t="s">
        <v>22</v>
      </c>
    </row>
    <row r="135" spans="2:4" x14ac:dyDescent="0.2">
      <c r="B135" s="67">
        <f>B131/2</f>
        <v>6.2E-2</v>
      </c>
      <c r="C135" s="14"/>
      <c r="D135" s="25" t="s">
        <v>133</v>
      </c>
    </row>
    <row r="136" spans="2:4" x14ac:dyDescent="0.2">
      <c r="B136" s="67">
        <v>1</v>
      </c>
      <c r="C136" s="24"/>
      <c r="D136" s="25" t="s">
        <v>23</v>
      </c>
    </row>
    <row r="137" spans="2:4" x14ac:dyDescent="0.2">
      <c r="B137" s="23">
        <v>1500</v>
      </c>
      <c r="C137" s="24"/>
      <c r="D137" s="25" t="s">
        <v>5</v>
      </c>
    </row>
    <row r="138" spans="2:4" x14ac:dyDescent="0.2">
      <c r="B138" s="67">
        <v>7.4999999999999997E-2</v>
      </c>
      <c r="C138" s="14"/>
      <c r="D138" s="25" t="s">
        <v>150</v>
      </c>
    </row>
    <row r="139" spans="2:4" x14ac:dyDescent="0.2">
      <c r="B139" s="67">
        <v>7.4999999999999997E-2</v>
      </c>
      <c r="C139" s="14"/>
      <c r="D139" s="25" t="s">
        <v>180</v>
      </c>
    </row>
    <row r="140" spans="2:4" x14ac:dyDescent="0.2">
      <c r="B140" s="23">
        <v>6000</v>
      </c>
      <c r="D140" s="25" t="s">
        <v>243</v>
      </c>
    </row>
    <row r="141" spans="2:4" x14ac:dyDescent="0.2">
      <c r="B141" s="67">
        <v>0.06</v>
      </c>
      <c r="D141" s="25" t="s">
        <v>244</v>
      </c>
    </row>
    <row r="142" spans="2:4" x14ac:dyDescent="0.2">
      <c r="B142" s="23">
        <v>75000</v>
      </c>
      <c r="D142" s="25" t="s">
        <v>245</v>
      </c>
    </row>
    <row r="143" spans="2:4" x14ac:dyDescent="0.2">
      <c r="B143" s="67">
        <v>0.02</v>
      </c>
      <c r="C143" s="14"/>
      <c r="D143" s="25" t="s">
        <v>151</v>
      </c>
    </row>
    <row r="144" spans="2:4" x14ac:dyDescent="0.2">
      <c r="B144" s="67">
        <v>0.6</v>
      </c>
      <c r="C144" s="14"/>
      <c r="D144" s="25" t="s">
        <v>163</v>
      </c>
    </row>
    <row r="145" spans="2:4" x14ac:dyDescent="0.2">
      <c r="B145" s="67">
        <v>5.0000000000000001E-3</v>
      </c>
      <c r="C145"/>
      <c r="D145" s="25" t="s">
        <v>254</v>
      </c>
    </row>
    <row r="146" spans="2:4" x14ac:dyDescent="0.2">
      <c r="B146" s="97">
        <f>2/37</f>
        <v>5.4054054054054057E-2</v>
      </c>
      <c r="C146"/>
      <c r="D146" s="25" t="s">
        <v>256</v>
      </c>
    </row>
    <row r="147" spans="2:4" x14ac:dyDescent="0.2">
      <c r="B147" s="23">
        <v>1000</v>
      </c>
      <c r="D147" s="25" t="s">
        <v>255</v>
      </c>
    </row>
    <row r="148" spans="2:4" x14ac:dyDescent="0.2">
      <c r="B148" s="23">
        <v>20200</v>
      </c>
      <c r="C148" s="15"/>
      <c r="D148" s="25" t="s">
        <v>202</v>
      </c>
    </row>
    <row r="149" spans="2:4" x14ac:dyDescent="0.2">
      <c r="B149" s="23">
        <v>5000</v>
      </c>
      <c r="C149" s="15"/>
      <c r="D149" s="25" t="s">
        <v>248</v>
      </c>
    </row>
    <row r="150" spans="2:4" x14ac:dyDescent="0.2">
      <c r="B150" s="67">
        <v>0.3</v>
      </c>
      <c r="C150" s="14"/>
      <c r="D150" s="25" t="s">
        <v>247</v>
      </c>
    </row>
    <row r="151" spans="2:4" x14ac:dyDescent="0.2">
      <c r="B151" s="23">
        <v>252500</v>
      </c>
      <c r="C151" s="15"/>
      <c r="D151" s="25" t="s">
        <v>246</v>
      </c>
    </row>
    <row r="152" spans="2:4" x14ac:dyDescent="0.2">
      <c r="B152" s="23">
        <v>70100</v>
      </c>
      <c r="C152" s="14"/>
      <c r="D152" s="25" t="s">
        <v>61</v>
      </c>
    </row>
    <row r="153" spans="2:4" x14ac:dyDescent="0.2">
      <c r="B153" s="23">
        <v>500000</v>
      </c>
      <c r="C153" s="14"/>
      <c r="D153" s="25" t="s">
        <v>153</v>
      </c>
    </row>
    <row r="154" spans="2:4" x14ac:dyDescent="0.2">
      <c r="B154" s="67">
        <v>0.25</v>
      </c>
      <c r="C154" s="14"/>
      <c r="D154" s="25" t="s">
        <v>169</v>
      </c>
    </row>
    <row r="155" spans="2:4" x14ac:dyDescent="0.2">
      <c r="B155" s="67">
        <v>0.26</v>
      </c>
      <c r="C155" s="14"/>
      <c r="D155" s="25" t="s">
        <v>65</v>
      </c>
    </row>
    <row r="156" spans="2:4" x14ac:dyDescent="0.2">
      <c r="B156" s="67">
        <v>0.28000000000000003</v>
      </c>
      <c r="C156" s="14"/>
      <c r="D156" s="25" t="s">
        <v>64</v>
      </c>
    </row>
    <row r="157" spans="2:4" x14ac:dyDescent="0.2">
      <c r="B157" s="23">
        <v>122250</v>
      </c>
      <c r="C157" s="14"/>
      <c r="D157" s="25" t="s">
        <v>66</v>
      </c>
    </row>
    <row r="158" spans="2:4" x14ac:dyDescent="0.2">
      <c r="B158" s="23">
        <f>B157*(B156-B155)</f>
        <v>2445.0000000000023</v>
      </c>
      <c r="C158" s="14"/>
      <c r="D158" s="25" t="s">
        <v>67</v>
      </c>
    </row>
    <row r="159" spans="2:4" x14ac:dyDescent="0.2">
      <c r="B159" s="67">
        <v>2.5000000000000001E-2</v>
      </c>
      <c r="C159" s="14"/>
      <c r="D159" s="25" t="s">
        <v>167</v>
      </c>
    </row>
    <row r="160" spans="2:4" x14ac:dyDescent="0.2">
      <c r="B160" s="23">
        <v>165000</v>
      </c>
      <c r="C160" s="14"/>
      <c r="D160" s="25" t="s">
        <v>155</v>
      </c>
    </row>
    <row r="161" spans="2:4" x14ac:dyDescent="0.2">
      <c r="B161" s="23">
        <v>201775</v>
      </c>
      <c r="C161" s="24"/>
      <c r="D161" s="90" t="s">
        <v>230</v>
      </c>
    </row>
    <row r="162" spans="2:4" x14ac:dyDescent="0.2">
      <c r="B162" s="23">
        <v>75000</v>
      </c>
      <c r="C162" s="24"/>
      <c r="D162" s="90" t="s">
        <v>231</v>
      </c>
    </row>
    <row r="163" spans="2:4" x14ac:dyDescent="0.2">
      <c r="B163" s="67">
        <v>0.2</v>
      </c>
      <c r="C163" s="24"/>
      <c r="D163" s="90" t="s">
        <v>232</v>
      </c>
    </row>
    <row r="164" spans="2:4" x14ac:dyDescent="0.2">
      <c r="B164" s="67">
        <v>1</v>
      </c>
      <c r="C164" s="9"/>
      <c r="D164" s="25" t="s">
        <v>233</v>
      </c>
    </row>
    <row r="165" spans="2:4" x14ac:dyDescent="0.2">
      <c r="B165" s="23">
        <v>1000</v>
      </c>
      <c r="C165"/>
      <c r="D165" s="25" t="s">
        <v>257</v>
      </c>
    </row>
    <row r="166" spans="2:4" ht="13.5" thickBot="1" x14ac:dyDescent="0.25">
      <c r="B166" s="73">
        <v>400</v>
      </c>
      <c r="C166" s="98"/>
      <c r="D166" s="32" t="s">
        <v>258</v>
      </c>
    </row>
    <row r="168" spans="2:4" ht="13.5" thickBot="1" x14ac:dyDescent="0.25">
      <c r="B168" s="78" t="s">
        <v>182</v>
      </c>
      <c r="C168" s="15"/>
    </row>
    <row r="169" spans="2:4" x14ac:dyDescent="0.2">
      <c r="B169" s="84">
        <v>0</v>
      </c>
      <c r="C169" s="85">
        <f>B82</f>
        <v>0.1</v>
      </c>
    </row>
    <row r="170" spans="2:4" x14ac:dyDescent="0.2">
      <c r="B170" s="23">
        <f>B83</f>
        <v>12400</v>
      </c>
      <c r="C170" s="86">
        <f>B85</f>
        <v>0.12</v>
      </c>
    </row>
    <row r="171" spans="2:4" x14ac:dyDescent="0.2">
      <c r="B171" s="23">
        <f>B86</f>
        <v>50400</v>
      </c>
      <c r="C171" s="86">
        <f>B88</f>
        <v>0.22</v>
      </c>
    </row>
    <row r="172" spans="2:4" x14ac:dyDescent="0.2">
      <c r="B172" s="23">
        <f>B89</f>
        <v>105700</v>
      </c>
      <c r="C172" s="86">
        <f>B91</f>
        <v>0.24</v>
      </c>
    </row>
    <row r="173" spans="2:4" x14ac:dyDescent="0.2">
      <c r="B173" s="23">
        <f>B92</f>
        <v>201775</v>
      </c>
      <c r="C173" s="86">
        <f>B94</f>
        <v>0.32</v>
      </c>
    </row>
    <row r="174" spans="2:4" x14ac:dyDescent="0.2">
      <c r="B174" s="23">
        <f>B95</f>
        <v>256225</v>
      </c>
      <c r="C174" s="86">
        <f>B97</f>
        <v>0.35</v>
      </c>
    </row>
    <row r="175" spans="2:4" ht="13.5" thickBot="1" x14ac:dyDescent="0.25">
      <c r="B175" s="73">
        <f>B98</f>
        <v>384350</v>
      </c>
      <c r="C175" s="87">
        <f>B100</f>
        <v>0.37</v>
      </c>
    </row>
  </sheetData>
  <sheetProtection algorithmName="SHA-512" hashValue="YHrykwcPB80lkzjrfihKzaUBCXJJbsLxBTBo2PiVsmDBSx+XvTxrfwtkXNdwTD1iiJTYRyBRUSYlqEa3GdzMiA==" saltValue="lhmTUqvLaOgL1oz1JurweA==" spinCount="100000" sheet="1"/>
  <phoneticPr fontId="0" type="noConversion"/>
  <pageMargins left="0.75" right="0.75" top="1" bottom="1" header="0.5" footer="0.5"/>
  <pageSetup orientation="portrait" blackAndWhite="1" horizontalDpi="360" verticalDpi="360"/>
  <headerFooter alignWithMargins="0">
    <oddHeader>Federal Tax Planner</oddHeader>
  </headerFooter>
  <drawing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D16D20-7E80-4542-9B8E-ED967EBE0BF4}">
  <dimension ref="A1:Y175"/>
  <sheetViews>
    <sheetView showGridLines="0" workbookViewId="0">
      <selection activeCell="B24" sqref="B24"/>
    </sheetView>
  </sheetViews>
  <sheetFormatPr defaultColWidth="8.85546875" defaultRowHeight="12.75" x14ac:dyDescent="0.2"/>
  <cols>
    <col min="1" max="1" width="9.140625" style="3" customWidth="1"/>
    <col min="2" max="2" width="15.7109375" style="1" customWidth="1"/>
    <col min="3" max="3" width="2.42578125" style="2" customWidth="1"/>
    <col min="4" max="4" width="26.42578125" style="1" customWidth="1"/>
    <col min="5" max="5" width="9.140625" style="3" customWidth="1"/>
    <col min="6" max="6" width="15.7109375" style="1" customWidth="1"/>
    <col min="7" max="7" width="2.42578125" style="2" customWidth="1"/>
    <col min="8" max="8" width="27.140625" style="1" customWidth="1"/>
    <col min="9" max="9" width="9.140625" style="3" customWidth="1"/>
    <col min="10" max="10" width="15.7109375" style="1" customWidth="1"/>
    <col min="11" max="11" width="2.42578125" style="2" customWidth="1"/>
    <col min="12" max="12" width="21.7109375" style="1" customWidth="1"/>
    <col min="13" max="13" width="9.140625" style="3" customWidth="1"/>
    <col min="14" max="14" width="15.7109375" style="1" customWidth="1"/>
    <col min="15" max="15" width="2.42578125" style="2" customWidth="1"/>
    <col min="16" max="16" width="25.28515625" style="1" customWidth="1"/>
    <col min="17" max="17" width="9.140625" style="3" customWidth="1"/>
    <col min="18" max="18" width="9.140625" style="1" customWidth="1"/>
    <col min="19" max="19" width="9.140625" style="2" customWidth="1"/>
  </cols>
  <sheetData>
    <row r="1" spans="1:4" ht="15.75" x14ac:dyDescent="0.25">
      <c r="A1" s="13"/>
      <c r="B1" s="14"/>
      <c r="C1" s="15"/>
      <c r="D1" s="16" t="s">
        <v>79</v>
      </c>
    </row>
    <row r="2" spans="1:4" x14ac:dyDescent="0.2">
      <c r="A2" s="13"/>
      <c r="B2" s="14"/>
      <c r="C2" s="15"/>
      <c r="D2" s="14"/>
    </row>
    <row r="3" spans="1:4" ht="14.25" x14ac:dyDescent="0.2">
      <c r="A3" s="13"/>
      <c r="B3" s="14"/>
      <c r="C3" s="15"/>
      <c r="D3" s="17" t="s">
        <v>253</v>
      </c>
    </row>
    <row r="4" spans="1:4" x14ac:dyDescent="0.2">
      <c r="A4" s="13"/>
      <c r="B4" s="14"/>
      <c r="C4" s="15"/>
      <c r="D4" s="14"/>
    </row>
    <row r="5" spans="1:4" x14ac:dyDescent="0.2">
      <c r="A5" s="18" t="s">
        <v>78</v>
      </c>
      <c r="B5" s="14"/>
      <c r="C5" s="15"/>
      <c r="D5" s="14"/>
    </row>
    <row r="6" spans="1:4" x14ac:dyDescent="0.2">
      <c r="A6" s="19"/>
      <c r="B6" s="14"/>
      <c r="C6" s="15"/>
      <c r="D6" s="14"/>
    </row>
    <row r="7" spans="1:4" x14ac:dyDescent="0.2">
      <c r="A7" s="19" t="s">
        <v>214</v>
      </c>
      <c r="B7" s="14"/>
      <c r="C7" s="15"/>
      <c r="D7" s="14"/>
    </row>
    <row r="8" spans="1:4" x14ac:dyDescent="0.2">
      <c r="A8" s="19" t="s">
        <v>215</v>
      </c>
      <c r="B8" s="14"/>
      <c r="C8" s="15"/>
      <c r="D8" s="14"/>
    </row>
    <row r="9" spans="1:4" x14ac:dyDescent="0.2">
      <c r="A9" s="19" t="s">
        <v>161</v>
      </c>
      <c r="B9" s="14"/>
      <c r="C9" s="15"/>
      <c r="D9" s="14"/>
    </row>
    <row r="10" spans="1:4" x14ac:dyDescent="0.2">
      <c r="A10" s="19" t="s">
        <v>80</v>
      </c>
      <c r="B10" s="14"/>
      <c r="C10" s="15"/>
      <c r="D10" s="14"/>
    </row>
    <row r="11" spans="1:4" x14ac:dyDescent="0.2">
      <c r="A11" s="19" t="s">
        <v>220</v>
      </c>
      <c r="B11" s="14"/>
      <c r="C11" s="15"/>
      <c r="D11" s="14"/>
    </row>
    <row r="12" spans="1:4" x14ac:dyDescent="0.2">
      <c r="A12" s="19" t="s">
        <v>219</v>
      </c>
      <c r="B12" s="14"/>
      <c r="C12" s="15"/>
      <c r="D12" s="14"/>
    </row>
    <row r="13" spans="1:4" x14ac:dyDescent="0.2">
      <c r="A13" s="19" t="s">
        <v>216</v>
      </c>
      <c r="B13" s="14"/>
      <c r="C13" s="15"/>
      <c r="D13" s="14"/>
    </row>
    <row r="14" spans="1:4" x14ac:dyDescent="0.2">
      <c r="A14" s="19" t="s">
        <v>217</v>
      </c>
      <c r="B14" s="14"/>
      <c r="C14" s="15"/>
      <c r="D14" s="14"/>
    </row>
    <row r="15" spans="1:4" x14ac:dyDescent="0.2">
      <c r="A15" s="19" t="s">
        <v>162</v>
      </c>
      <c r="B15" s="14"/>
      <c r="C15" s="15"/>
      <c r="D15" s="14"/>
    </row>
    <row r="16" spans="1:4" x14ac:dyDescent="0.2">
      <c r="A16" s="19" t="s">
        <v>137</v>
      </c>
      <c r="B16" s="14"/>
      <c r="C16" s="15"/>
      <c r="D16" s="14"/>
    </row>
    <row r="17" spans="1:24" x14ac:dyDescent="0.2">
      <c r="A17" s="19" t="s">
        <v>138</v>
      </c>
      <c r="B17" s="14"/>
      <c r="C17" s="15"/>
      <c r="D17" s="14"/>
    </row>
    <row r="20" spans="1:24" ht="13.5" thickBot="1" x14ac:dyDescent="0.25">
      <c r="B20" s="5" t="s">
        <v>140</v>
      </c>
      <c r="C20" s="6"/>
      <c r="D20" s="7"/>
      <c r="E20" s="6"/>
      <c r="F20" s="8" t="s">
        <v>141</v>
      </c>
      <c r="G20" s="6"/>
      <c r="H20" s="7"/>
      <c r="I20" s="6"/>
      <c r="J20" s="8" t="s">
        <v>33</v>
      </c>
      <c r="K20" s="6"/>
      <c r="L20" s="7"/>
      <c r="M20"/>
      <c r="N20" s="12" t="s">
        <v>7</v>
      </c>
      <c r="O20" s="9"/>
      <c r="P20" s="9"/>
    </row>
    <row r="21" spans="1:24" x14ac:dyDescent="0.2">
      <c r="B21" s="20">
        <f>J46</f>
        <v>0</v>
      </c>
      <c r="C21" s="21"/>
      <c r="D21" s="22" t="s">
        <v>172</v>
      </c>
      <c r="E21" s="6"/>
      <c r="F21" s="33">
        <v>0</v>
      </c>
      <c r="G21" s="21"/>
      <c r="H21" s="22" t="s">
        <v>86</v>
      </c>
      <c r="I21" s="6"/>
      <c r="J21" s="39">
        <f>F62</f>
        <v>0</v>
      </c>
      <c r="K21" s="21"/>
      <c r="L21" s="22" t="s">
        <v>35</v>
      </c>
      <c r="M21"/>
      <c r="N21" s="42">
        <f>F35+MIN(B51*B159,MAX(0,F31-B57))+MAX(0,F32-B58)-B33</f>
        <v>0</v>
      </c>
      <c r="O21" s="43"/>
      <c r="P21" s="44" t="s">
        <v>59</v>
      </c>
    </row>
    <row r="22" spans="1:24" x14ac:dyDescent="0.2">
      <c r="B22" s="23">
        <f>N46</f>
        <v>0</v>
      </c>
      <c r="C22" s="24"/>
      <c r="D22" s="25" t="s">
        <v>88</v>
      </c>
      <c r="E22" s="6"/>
      <c r="F22" s="27">
        <v>0</v>
      </c>
      <c r="G22" s="24"/>
      <c r="H22" s="25" t="s">
        <v>221</v>
      </c>
      <c r="I22" s="6"/>
      <c r="J22" s="40">
        <f>SUM(F51:F53)</f>
        <v>0</v>
      </c>
      <c r="K22" s="14"/>
      <c r="L22" s="25" t="s">
        <v>54</v>
      </c>
      <c r="M22" s="1"/>
      <c r="N22" s="27">
        <v>0</v>
      </c>
      <c r="O22" s="14"/>
      <c r="P22" s="25" t="s">
        <v>170</v>
      </c>
    </row>
    <row r="23" spans="1:24" x14ac:dyDescent="0.2">
      <c r="B23" s="23">
        <f>J62</f>
        <v>0</v>
      </c>
      <c r="C23" s="24"/>
      <c r="D23" s="25" t="s">
        <v>0</v>
      </c>
      <c r="E23" s="6"/>
      <c r="F23" s="27">
        <v>0</v>
      </c>
      <c r="G23" s="24"/>
      <c r="H23" s="25" t="s">
        <v>71</v>
      </c>
      <c r="I23" s="6"/>
      <c r="J23" s="40">
        <f>F59</f>
        <v>0</v>
      </c>
      <c r="K23" s="24"/>
      <c r="L23" s="25" t="s">
        <v>41</v>
      </c>
      <c r="M23" s="1"/>
      <c r="N23" s="27">
        <v>0</v>
      </c>
      <c r="O23" s="14"/>
      <c r="P23" s="25" t="s">
        <v>159</v>
      </c>
    </row>
    <row r="24" spans="1:24" x14ac:dyDescent="0.2">
      <c r="B24" s="26">
        <v>0</v>
      </c>
      <c r="C24" s="24"/>
      <c r="D24" s="25" t="s">
        <v>173</v>
      </c>
      <c r="E24" s="6"/>
      <c r="F24" s="27">
        <v>0</v>
      </c>
      <c r="G24" s="24"/>
      <c r="H24" s="25" t="s">
        <v>72</v>
      </c>
      <c r="I24" s="6"/>
      <c r="J24" s="40">
        <f>F54-F55</f>
        <v>0</v>
      </c>
      <c r="K24" s="24"/>
      <c r="L24" s="25" t="s">
        <v>38</v>
      </c>
      <c r="M24" s="1"/>
      <c r="N24" s="23">
        <f>MAX(0,B51-MAX(B33,(F36-F37)-N21)+N22-F44-B70-IF(N23=0,0,SUM(B54:B55)-N23))</f>
        <v>0</v>
      </c>
      <c r="O24" s="34"/>
      <c r="P24" s="35" t="s">
        <v>63</v>
      </c>
    </row>
    <row r="25" spans="1:24" x14ac:dyDescent="0.2">
      <c r="B25" s="27">
        <v>0</v>
      </c>
      <c r="C25" s="24"/>
      <c r="D25" s="25" t="s">
        <v>174</v>
      </c>
      <c r="E25" s="6"/>
      <c r="F25" s="27">
        <v>0</v>
      </c>
      <c r="G25" s="24"/>
      <c r="H25" s="25" t="s">
        <v>91</v>
      </c>
      <c r="I25" s="6"/>
      <c r="J25" s="40">
        <f>F68</f>
        <v>0</v>
      </c>
      <c r="K25" s="24"/>
      <c r="L25" s="25" t="s">
        <v>43</v>
      </c>
      <c r="M25" s="1"/>
      <c r="N25" s="23">
        <f>IF(N24&lt;=B153,B152,MAX(0,B152-((N24-B153)*B154)))</f>
        <v>90100</v>
      </c>
      <c r="O25" s="34"/>
      <c r="P25" s="35" t="s">
        <v>60</v>
      </c>
    </row>
    <row r="26" spans="1:24" x14ac:dyDescent="0.2">
      <c r="B26" s="27">
        <v>0</v>
      </c>
      <c r="C26" s="24"/>
      <c r="D26" s="25" t="s">
        <v>176</v>
      </c>
      <c r="E26" s="6"/>
      <c r="F26" s="27">
        <v>0</v>
      </c>
      <c r="G26" s="24"/>
      <c r="H26" s="25" t="s">
        <v>77</v>
      </c>
      <c r="I26" s="6"/>
      <c r="J26" s="41">
        <f>J78</f>
        <v>0</v>
      </c>
      <c r="K26" s="24"/>
      <c r="L26" s="25" t="s">
        <v>46</v>
      </c>
      <c r="M26" s="1"/>
      <c r="N26" s="23">
        <f>MAX(0,N24-N25)+IF(OR(B160=0,B160&gt;(N24-N25)),0,MIN(B152,B154*(N24-N25-B160)))</f>
        <v>0</v>
      </c>
      <c r="O26" s="34"/>
      <c r="P26" s="35" t="s">
        <v>62</v>
      </c>
    </row>
    <row r="27" spans="1:24" x14ac:dyDescent="0.2">
      <c r="B27" s="26">
        <v>0</v>
      </c>
      <c r="C27" s="24"/>
      <c r="D27" s="25" t="s">
        <v>175</v>
      </c>
      <c r="E27" s="6"/>
      <c r="F27" s="27">
        <v>0</v>
      </c>
      <c r="G27" s="24"/>
      <c r="H27" s="25" t="s">
        <v>2</v>
      </c>
      <c r="I27" s="6"/>
      <c r="J27" s="81">
        <f>F70</f>
        <v>0</v>
      </c>
      <c r="K27" s="24"/>
      <c r="L27" s="25" t="s">
        <v>52</v>
      </c>
      <c r="M27" s="1"/>
      <c r="N27" s="23">
        <f>MAX(0,B106*MIN(N26,IF(N23&gt;0,N23,B54))+IF(N23=0,N23,B55)*B107+IF(N26-IF(N23&gt;0,N23,B54-B55)&gt;B157,B156*MAX(0,N26-IF(N23&gt;0,N23,B54-B55))-B158,B155*MAX(0,N26-IF(N23&gt;0,N23,B54-B55))))+IF(N26&gt;B109,((B108-B106)*MIN(B54,N26-B109)),0)</f>
        <v>0</v>
      </c>
      <c r="O27" s="24"/>
      <c r="P27" s="25" t="s">
        <v>164</v>
      </c>
    </row>
    <row r="28" spans="1:24" x14ac:dyDescent="0.2">
      <c r="B28" s="27">
        <v>0</v>
      </c>
      <c r="C28" s="24"/>
      <c r="D28" s="25" t="s">
        <v>185</v>
      </c>
      <c r="E28" s="6"/>
      <c r="F28" s="27">
        <v>0</v>
      </c>
      <c r="G28" s="24"/>
      <c r="H28" s="25" t="s">
        <v>3</v>
      </c>
      <c r="I28" s="6"/>
      <c r="J28" s="82">
        <f>IF(F46=0,0,F62/F46)</f>
        <v>0</v>
      </c>
      <c r="K28" s="15"/>
      <c r="L28" s="25" t="s">
        <v>183</v>
      </c>
      <c r="M28" s="1"/>
      <c r="N28" s="27">
        <v>0</v>
      </c>
      <c r="O28" s="14"/>
      <c r="P28" s="25" t="s">
        <v>76</v>
      </c>
    </row>
    <row r="29" spans="1:24" ht="13.5" thickBot="1" x14ac:dyDescent="0.25">
      <c r="B29" s="26">
        <v>0</v>
      </c>
      <c r="C29" s="24"/>
      <c r="D29" s="25" t="s">
        <v>160</v>
      </c>
      <c r="E29" s="6"/>
      <c r="F29" s="26">
        <v>0</v>
      </c>
      <c r="G29" s="24"/>
      <c r="H29" s="25" t="s">
        <v>177</v>
      </c>
      <c r="I29" s="6"/>
      <c r="J29" s="89">
        <f>VLOOKUP(F46,B169:C175,2)</f>
        <v>0.1</v>
      </c>
      <c r="K29" s="15"/>
      <c r="L29" s="25" t="s">
        <v>184</v>
      </c>
      <c r="N29" s="45">
        <f>IF(OR(B78="1",B78="y",B78="Y",B78="yes",B78="YES",B78="Yes",B78="true",B78="TRUE",B78="True"),ROUND(MAX(0,N27-N28-F49),0),MAX(0,N27-N28-F49))</f>
        <v>0</v>
      </c>
      <c r="O29" s="31"/>
      <c r="P29" s="32" t="s">
        <v>166</v>
      </c>
    </row>
    <row r="30" spans="1:24" ht="13.5" thickBot="1" x14ac:dyDescent="0.25">
      <c r="B30" s="26">
        <v>0</v>
      </c>
      <c r="C30" s="24"/>
      <c r="D30" s="25" t="s">
        <v>223</v>
      </c>
      <c r="E30" s="6"/>
      <c r="F30" s="27">
        <v>0</v>
      </c>
      <c r="G30" s="24"/>
      <c r="H30" s="25" t="s">
        <v>148</v>
      </c>
      <c r="I30" s="6"/>
      <c r="J30" s="83">
        <f>IF(F46&lt;=B102,B101,IF(AND(F46&lt;=B104,F46-SUM(B54:B55)&lt;=B102),B103,IF(F46&lt;=B104,B103,B105)))</f>
        <v>0</v>
      </c>
      <c r="K30" s="79"/>
      <c r="L30" s="32" t="s">
        <v>218</v>
      </c>
    </row>
    <row r="31" spans="1:24" x14ac:dyDescent="0.2">
      <c r="B31" s="27">
        <v>0</v>
      </c>
      <c r="C31" s="24"/>
      <c r="D31" s="25" t="s">
        <v>106</v>
      </c>
      <c r="E31" s="6"/>
      <c r="F31" s="27">
        <v>0</v>
      </c>
      <c r="G31" s="14"/>
      <c r="H31" s="25" t="s">
        <v>149</v>
      </c>
      <c r="I31" s="6"/>
      <c r="W31" s="1"/>
      <c r="X31" s="1"/>
    </row>
    <row r="32" spans="1:24" ht="13.5" thickBot="1" x14ac:dyDescent="0.25">
      <c r="B32" s="27">
        <v>0</v>
      </c>
      <c r="C32" s="24"/>
      <c r="D32" s="25" t="s">
        <v>4</v>
      </c>
      <c r="E32" s="6"/>
      <c r="F32" s="88">
        <v>0</v>
      </c>
      <c r="G32" s="34"/>
      <c r="H32" s="35" t="s">
        <v>136</v>
      </c>
      <c r="I32" s="6"/>
      <c r="J32" s="10" t="s">
        <v>73</v>
      </c>
      <c r="K32" s="1"/>
      <c r="L32" s="2"/>
      <c r="M32" s="6"/>
      <c r="N32" s="10" t="s">
        <v>74</v>
      </c>
      <c r="O32" s="1"/>
      <c r="P32" s="2"/>
      <c r="W32" s="1"/>
      <c r="X32" s="1"/>
    </row>
    <row r="33" spans="2:24" x14ac:dyDescent="0.2">
      <c r="B33" s="28">
        <v>0</v>
      </c>
      <c r="C33" s="24"/>
      <c r="D33" s="25" t="s">
        <v>181</v>
      </c>
      <c r="E33" s="6"/>
      <c r="F33" s="36"/>
      <c r="G33" s="14"/>
      <c r="H33" s="37"/>
      <c r="I33" s="6"/>
      <c r="J33" s="33">
        <v>0</v>
      </c>
      <c r="K33" s="46"/>
      <c r="L33" s="22" t="s">
        <v>87</v>
      </c>
      <c r="M33" s="6"/>
      <c r="N33" s="33">
        <v>0</v>
      </c>
      <c r="O33" s="46"/>
      <c r="P33" s="22" t="s">
        <v>87</v>
      </c>
      <c r="W33" s="1"/>
      <c r="X33" s="1"/>
    </row>
    <row r="34" spans="2:24" x14ac:dyDescent="0.2">
      <c r="B34" s="27">
        <v>0</v>
      </c>
      <c r="C34" s="24"/>
      <c r="D34" s="25" t="s">
        <v>1</v>
      </c>
      <c r="E34" s="6"/>
      <c r="F34" s="23">
        <f>SUM(F21:F27)+F30+SUM(B59:B60)</f>
        <v>0</v>
      </c>
      <c r="G34" s="24"/>
      <c r="H34" s="25" t="s">
        <v>100</v>
      </c>
      <c r="I34" s="6"/>
      <c r="J34" s="27">
        <v>0</v>
      </c>
      <c r="K34" s="14"/>
      <c r="L34" s="25" t="s">
        <v>89</v>
      </c>
      <c r="M34" s="6"/>
      <c r="N34" s="27">
        <v>0</v>
      </c>
      <c r="O34" s="14"/>
      <c r="P34" s="25" t="s">
        <v>89</v>
      </c>
      <c r="T34" s="1"/>
      <c r="U34" s="1"/>
      <c r="V34" s="1"/>
      <c r="W34" s="1"/>
      <c r="X34" s="1"/>
    </row>
    <row r="35" spans="2:24" x14ac:dyDescent="0.2">
      <c r="B35" s="27">
        <v>0</v>
      </c>
      <c r="C35" s="24"/>
      <c r="D35" s="90" t="s">
        <v>227</v>
      </c>
      <c r="E35" s="6"/>
      <c r="F35" s="23">
        <f>IF(B51-B151&lt;=0,B61,IF(B61-B150*(B51-B151)&lt;B149,B149,MAX(B149,B61)-B150*(B51-B151)))</f>
        <v>0</v>
      </c>
      <c r="G35" s="15"/>
      <c r="H35" s="25" t="s">
        <v>203</v>
      </c>
      <c r="I35" s="6"/>
      <c r="J35" s="27">
        <v>0</v>
      </c>
      <c r="K35" s="14"/>
      <c r="L35" s="25" t="s">
        <v>90</v>
      </c>
      <c r="M35" s="6"/>
      <c r="N35" s="27">
        <v>0</v>
      </c>
      <c r="O35" s="14"/>
      <c r="P35" s="25" t="s">
        <v>90</v>
      </c>
      <c r="T35" s="1"/>
      <c r="U35" s="1"/>
      <c r="V35" s="1"/>
      <c r="W35" s="1"/>
      <c r="X35" s="1"/>
    </row>
    <row r="36" spans="2:24" x14ac:dyDescent="0.2">
      <c r="B36" s="27">
        <v>0</v>
      </c>
      <c r="C36" s="24"/>
      <c r="D36" s="90" t="s">
        <v>228</v>
      </c>
      <c r="E36" s="6"/>
      <c r="F36" s="23">
        <f>F21+F27+F30+F35+SUM(B59:B60)</f>
        <v>0</v>
      </c>
      <c r="G36" s="15"/>
      <c r="H36" s="25" t="s">
        <v>204</v>
      </c>
      <c r="I36" s="6"/>
      <c r="J36" s="27">
        <v>0</v>
      </c>
      <c r="K36" s="14"/>
      <c r="L36" s="25" t="s">
        <v>92</v>
      </c>
      <c r="M36" s="6"/>
      <c r="N36" s="27">
        <v>0</v>
      </c>
      <c r="O36" s="14"/>
      <c r="P36" s="25" t="s">
        <v>92</v>
      </c>
      <c r="T36" s="1"/>
      <c r="U36" s="1"/>
      <c r="V36" s="1"/>
      <c r="W36" s="1"/>
      <c r="X36" s="1"/>
    </row>
    <row r="37" spans="2:24" x14ac:dyDescent="0.2">
      <c r="B37" s="23"/>
      <c r="C37" s="24"/>
      <c r="D37" s="29"/>
      <c r="E37" s="6"/>
      <c r="F37" s="23">
        <f>MIN(B124*F36,B123*MAX(B51-B122,0))</f>
        <v>0</v>
      </c>
      <c r="G37" s="24"/>
      <c r="H37" s="25" t="s">
        <v>97</v>
      </c>
      <c r="I37" s="6"/>
      <c r="J37" s="27">
        <v>0</v>
      </c>
      <c r="K37" s="14"/>
      <c r="L37" s="25" t="s">
        <v>93</v>
      </c>
      <c r="M37" s="6"/>
      <c r="N37" s="27">
        <v>0</v>
      </c>
      <c r="O37" s="14"/>
      <c r="P37" s="25" t="s">
        <v>93</v>
      </c>
      <c r="T37" s="1"/>
      <c r="U37" s="1"/>
      <c r="V37" s="1"/>
      <c r="W37" s="1"/>
      <c r="X37" s="1"/>
    </row>
    <row r="38" spans="2:24" ht="13.5" thickBot="1" x14ac:dyDescent="0.25">
      <c r="B38" s="30">
        <f>SUM(B21:B36)</f>
        <v>0</v>
      </c>
      <c r="C38" s="31"/>
      <c r="D38" s="32" t="s">
        <v>6</v>
      </c>
      <c r="E38" s="6"/>
      <c r="F38" s="38">
        <f>MAX(F36-F37,B112+(SUM(B75:B76)*B113)+MIN(B147,F28))+IF(B112+(SUM(B75:B76)*B113)&lt;F36-F37,0,MIN(B125,F28))</f>
        <v>24150</v>
      </c>
      <c r="G38" s="24"/>
      <c r="H38" s="25" t="s">
        <v>101</v>
      </c>
      <c r="I38" s="6"/>
      <c r="J38" s="27">
        <v>0</v>
      </c>
      <c r="K38" s="14"/>
      <c r="L38" s="25" t="s">
        <v>94</v>
      </c>
      <c r="M38" s="6"/>
      <c r="N38" s="27">
        <v>0</v>
      </c>
      <c r="O38" s="14"/>
      <c r="P38" s="25" t="s">
        <v>94</v>
      </c>
      <c r="T38" s="1"/>
      <c r="U38" s="1"/>
      <c r="V38" s="1"/>
      <c r="W38" s="1"/>
      <c r="X38" s="1"/>
    </row>
    <row r="39" spans="2:24" x14ac:dyDescent="0.2">
      <c r="B39" s="4"/>
      <c r="C39" s="6"/>
      <c r="D39" s="7"/>
      <c r="E39" s="6"/>
      <c r="F39" s="23"/>
      <c r="G39" s="24"/>
      <c r="H39" s="29"/>
      <c r="I39" s="6"/>
      <c r="J39" s="27">
        <v>0</v>
      </c>
      <c r="K39" s="14"/>
      <c r="L39" s="25" t="s">
        <v>95</v>
      </c>
      <c r="M39" s="6"/>
      <c r="N39" s="27">
        <v>0</v>
      </c>
      <c r="O39" s="14"/>
      <c r="P39" s="25" t="s">
        <v>95</v>
      </c>
      <c r="T39" s="1"/>
      <c r="U39" s="1"/>
      <c r="V39" s="1"/>
      <c r="W39" s="1"/>
      <c r="X39" s="1"/>
    </row>
    <row r="40" spans="2:24" ht="13.5" thickBot="1" x14ac:dyDescent="0.25">
      <c r="B40" s="8" t="s">
        <v>27</v>
      </c>
      <c r="C40" s="6"/>
      <c r="D40" s="7"/>
      <c r="E40" s="6"/>
      <c r="F40" s="23">
        <f>B114*B74</f>
        <v>0</v>
      </c>
      <c r="G40" s="24"/>
      <c r="H40" s="25" t="s">
        <v>28</v>
      </c>
      <c r="I40" s="6"/>
      <c r="J40" s="27">
        <v>0</v>
      </c>
      <c r="K40" s="14"/>
      <c r="L40" s="25" t="s">
        <v>96</v>
      </c>
      <c r="M40" s="6"/>
      <c r="N40" s="27">
        <v>0</v>
      </c>
      <c r="O40" s="14"/>
      <c r="P40" s="25" t="s">
        <v>96</v>
      </c>
      <c r="T40" s="1"/>
      <c r="U40" s="1"/>
      <c r="V40" s="1"/>
      <c r="W40" s="1"/>
      <c r="X40" s="1"/>
    </row>
    <row r="41" spans="2:24" x14ac:dyDescent="0.2">
      <c r="B41" s="42">
        <f>N62</f>
        <v>0</v>
      </c>
      <c r="C41" s="21"/>
      <c r="D41" s="22" t="s">
        <v>29</v>
      </c>
      <c r="E41" s="6"/>
      <c r="F41" s="23">
        <f>F40*B117*CEILING(MAX((B51-B116)/B115,0),1)</f>
        <v>0</v>
      </c>
      <c r="G41" s="24"/>
      <c r="H41" s="25" t="s">
        <v>97</v>
      </c>
      <c r="I41" s="6"/>
      <c r="J41" s="27">
        <v>0</v>
      </c>
      <c r="K41" s="14"/>
      <c r="L41" s="25" t="s">
        <v>98</v>
      </c>
      <c r="M41" s="6"/>
      <c r="N41" s="27">
        <v>0</v>
      </c>
      <c r="O41" s="14"/>
      <c r="P41" s="25" t="s">
        <v>98</v>
      </c>
      <c r="T41" s="1"/>
      <c r="U41" s="1"/>
      <c r="V41" s="1"/>
      <c r="W41" s="1"/>
      <c r="X41" s="1"/>
    </row>
    <row r="42" spans="2:24" x14ac:dyDescent="0.2">
      <c r="B42" s="23">
        <f>(F59+MAX(0,B130*(B52-B111)))/2</f>
        <v>0</v>
      </c>
      <c r="C42" s="24"/>
      <c r="D42" s="25" t="s">
        <v>30</v>
      </c>
      <c r="E42" s="6"/>
      <c r="F42" s="23">
        <f>MAX(0,F40-F41)</f>
        <v>0</v>
      </c>
      <c r="G42" s="24"/>
      <c r="H42" s="25" t="s">
        <v>31</v>
      </c>
      <c r="I42" s="6"/>
      <c r="J42" s="27">
        <v>0</v>
      </c>
      <c r="K42" s="14"/>
      <c r="L42" s="25" t="s">
        <v>99</v>
      </c>
      <c r="M42" s="6"/>
      <c r="N42" s="27">
        <v>0</v>
      </c>
      <c r="O42" s="14"/>
      <c r="P42" s="25" t="s">
        <v>99</v>
      </c>
      <c r="T42" s="1"/>
      <c r="U42" s="1"/>
      <c r="V42" s="1"/>
      <c r="W42" s="1"/>
      <c r="X42" s="1"/>
    </row>
    <row r="43" spans="2:24" x14ac:dyDescent="0.2">
      <c r="B43" s="27">
        <v>0</v>
      </c>
      <c r="C43" s="24"/>
      <c r="D43" s="25" t="s">
        <v>32</v>
      </c>
      <c r="E43" s="6"/>
      <c r="F43" s="23">
        <f>IF(B76&gt;=1,1,MAX(0,B76))*MAX(0,B140-MAX(0,B141*(B51-B142)))</f>
        <v>0</v>
      </c>
      <c r="H43" s="25" t="s">
        <v>240</v>
      </c>
      <c r="I43" s="6"/>
      <c r="J43" s="27">
        <v>0</v>
      </c>
      <c r="K43" s="14"/>
      <c r="L43" s="25" t="s">
        <v>102</v>
      </c>
      <c r="M43" s="6"/>
      <c r="N43" s="27">
        <v>0</v>
      </c>
      <c r="O43" s="14"/>
      <c r="P43" s="25" t="s">
        <v>102</v>
      </c>
      <c r="T43" s="1"/>
      <c r="U43" s="1"/>
      <c r="V43" s="1"/>
      <c r="W43" s="1"/>
      <c r="X43" s="1"/>
    </row>
    <row r="44" spans="2:24" x14ac:dyDescent="0.2">
      <c r="B44" s="27">
        <v>0</v>
      </c>
      <c r="C44" s="24"/>
      <c r="D44" s="25" t="s">
        <v>213</v>
      </c>
      <c r="E44" s="6"/>
      <c r="F44" s="27">
        <v>0</v>
      </c>
      <c r="G44" s="24"/>
      <c r="H44" s="25" t="s">
        <v>222</v>
      </c>
      <c r="I44" s="6"/>
      <c r="J44" s="27">
        <v>0</v>
      </c>
      <c r="K44" s="14"/>
      <c r="L44" s="25" t="s">
        <v>103</v>
      </c>
      <c r="M44" s="6"/>
      <c r="N44" s="27">
        <v>0</v>
      </c>
      <c r="O44" s="14"/>
      <c r="P44" s="25" t="s">
        <v>103</v>
      </c>
      <c r="T44" s="1"/>
      <c r="U44" s="1"/>
      <c r="V44" s="1"/>
      <c r="W44" s="1"/>
      <c r="X44" s="1"/>
    </row>
    <row r="45" spans="2:24" x14ac:dyDescent="0.2">
      <c r="B45" s="27">
        <v>0</v>
      </c>
      <c r="C45" s="24"/>
      <c r="D45" s="25" t="s">
        <v>147</v>
      </c>
      <c r="E45" s="6"/>
      <c r="F45" s="23"/>
      <c r="G45" s="24"/>
      <c r="H45" s="29"/>
      <c r="I45" s="6"/>
      <c r="J45" s="36"/>
      <c r="K45" s="14"/>
      <c r="L45" s="29"/>
      <c r="M45" s="6"/>
      <c r="N45" s="36"/>
      <c r="O45" s="14"/>
      <c r="P45" s="29"/>
      <c r="T45" s="1"/>
      <c r="U45" s="1"/>
      <c r="V45" s="1"/>
      <c r="W45" s="1"/>
      <c r="X45" s="1"/>
    </row>
    <row r="46" spans="2:24" ht="13.5" thickBot="1" x14ac:dyDescent="0.25">
      <c r="B46" s="27">
        <v>0</v>
      </c>
      <c r="C46" s="24"/>
      <c r="D46" s="25" t="s">
        <v>148</v>
      </c>
      <c r="E46" s="6"/>
      <c r="F46" s="30">
        <f>MAX(0,B51-F38-SUM(F42:F44)-(B70*IF(OR(B80="1",B80="y",B80="Y",B80="yes",B80="YES",B80="Yes",B80="true",B80="TRUE",B80="True"),1,0)))</f>
        <v>0</v>
      </c>
      <c r="G46" s="31"/>
      <c r="H46" s="32" t="s">
        <v>83</v>
      </c>
      <c r="I46" s="6"/>
      <c r="J46" s="47">
        <f>SUM(J33:J44)</f>
        <v>0</v>
      </c>
      <c r="K46" s="48"/>
      <c r="L46" s="32" t="s">
        <v>25</v>
      </c>
      <c r="M46" s="6"/>
      <c r="N46" s="47">
        <f>SUM(N33:N44)</f>
        <v>0</v>
      </c>
      <c r="O46" s="48"/>
      <c r="P46" s="32" t="s">
        <v>25</v>
      </c>
      <c r="T46" s="1"/>
      <c r="U46" s="1"/>
      <c r="V46" s="1"/>
      <c r="W46" s="1"/>
      <c r="X46" s="1"/>
    </row>
    <row r="47" spans="2:24" x14ac:dyDescent="0.2">
      <c r="B47" s="36"/>
      <c r="C47" s="14"/>
      <c r="D47" s="37"/>
      <c r="E47" s="6"/>
      <c r="I47" s="6"/>
      <c r="J47" s="3"/>
      <c r="K47" s="1"/>
      <c r="L47" s="2"/>
      <c r="M47" s="6"/>
      <c r="N47" s="3"/>
      <c r="O47" s="1"/>
      <c r="P47" s="2"/>
      <c r="T47" s="1"/>
      <c r="U47" s="1"/>
      <c r="V47" s="1"/>
      <c r="W47" s="1"/>
      <c r="X47" s="1"/>
    </row>
    <row r="48" spans="2:24" ht="13.5" thickBot="1" x14ac:dyDescent="0.25">
      <c r="B48" s="49">
        <f>B41+B42+(B43*B136)+B44+B45+B46-B53</f>
        <v>0</v>
      </c>
      <c r="C48" s="31"/>
      <c r="D48" s="32" t="s">
        <v>143</v>
      </c>
      <c r="E48" s="6"/>
      <c r="F48" s="8" t="s">
        <v>55</v>
      </c>
      <c r="G48" s="6"/>
      <c r="H48" s="7"/>
      <c r="I48" s="6"/>
      <c r="J48" s="10" t="s">
        <v>24</v>
      </c>
      <c r="K48" s="6"/>
      <c r="L48" s="7"/>
      <c r="M48" s="6"/>
      <c r="N48" s="10" t="s">
        <v>29</v>
      </c>
      <c r="O48" s="6"/>
      <c r="P48" s="7"/>
      <c r="T48" s="1"/>
      <c r="U48" s="1"/>
      <c r="V48" s="1"/>
      <c r="W48" s="1"/>
      <c r="X48" s="1"/>
    </row>
    <row r="49" spans="2:25" x14ac:dyDescent="0.2">
      <c r="B49" s="4"/>
      <c r="C49" s="6"/>
      <c r="D49" s="7"/>
      <c r="E49" s="6"/>
      <c r="F49" s="42">
        <f>IF(F46-SUM(B54:B55)&gt;B98,(B99+(B100*(F46-B98-SUM(B54:B55)))),IF(F46-SUM(B54:B55)&gt;B95,(B96+(B97*(F46-B95-SUM(B54:B55)))),IF(F46-SUM(B54:B55)&gt;B92,(B93+(B94*(F46-B92-SUM(B54:B55)))),IF(F46-SUM(B54:B55)&gt;B89,(B90+(B91*(F46-B89-SUM(B54:B55)))),IF(F46-SUM(B54:B55)&gt;B86,((B87+(B88*(F46-B86-SUM(B54:B55))))),IF(F46-SUM(B54:B55)&gt;B83,(B84+(B85*(F46-B83-SUM(B54:B55)))),B82*MAX(0,F46-SUM(B54:B55))))))))+IF(F46&lt;=B102,B101*SUM(B54:B55),IF(AND(F46&lt;=B104,F46-SUM(B54:B55)&lt;=B102),B103*(F46-B102)+B101*(MAX(0,SUM(B54:B55)-(F46-B102))),IF(F46&lt;=B104,B103*SUM(B54:B55),IF(F46-SUM(B54:B55)&gt;B104,B105*SUM(B54:B55),B105*(F46-B104)+B103*(B104-MAX(B102,MAX(0,F46-SUM(B54:B55))))))))</f>
        <v>0</v>
      </c>
      <c r="G49" s="21"/>
      <c r="H49" s="22" t="s">
        <v>36</v>
      </c>
      <c r="I49" s="6"/>
      <c r="J49" s="33">
        <v>0</v>
      </c>
      <c r="K49" s="21"/>
      <c r="L49" s="22" t="s">
        <v>87</v>
      </c>
      <c r="M49" s="6"/>
      <c r="N49" s="33">
        <v>0</v>
      </c>
      <c r="O49" s="21"/>
      <c r="P49" s="22" t="s">
        <v>87</v>
      </c>
      <c r="T49" s="1"/>
      <c r="U49" s="1"/>
      <c r="V49" s="1"/>
      <c r="W49" s="1"/>
      <c r="X49" s="1"/>
    </row>
    <row r="50" spans="2:25" ht="13.5" thickBot="1" x14ac:dyDescent="0.25">
      <c r="B50" s="8" t="s">
        <v>81</v>
      </c>
      <c r="C50" s="6"/>
      <c r="D50" s="7"/>
      <c r="E50" s="6"/>
      <c r="F50" s="27">
        <v>0</v>
      </c>
      <c r="G50" s="24"/>
      <c r="H50" s="25" t="s">
        <v>139</v>
      </c>
      <c r="I50" s="6"/>
      <c r="J50" s="27">
        <v>0</v>
      </c>
      <c r="K50" s="24"/>
      <c r="L50" s="25" t="s">
        <v>89</v>
      </c>
      <c r="M50" s="6"/>
      <c r="N50" s="27">
        <v>0</v>
      </c>
      <c r="O50" s="24"/>
      <c r="P50" s="25" t="s">
        <v>89</v>
      </c>
      <c r="Q50" s="4"/>
      <c r="R50" s="6"/>
      <c r="S50" s="7"/>
      <c r="T50" s="1"/>
      <c r="U50" s="1"/>
      <c r="V50" s="1"/>
      <c r="W50" s="1"/>
      <c r="X50" s="1"/>
      <c r="Y50" s="1"/>
    </row>
    <row r="51" spans="2:25" x14ac:dyDescent="0.2">
      <c r="B51" s="65">
        <f>MAX(0,B38-B48)</f>
        <v>0</v>
      </c>
      <c r="C51" s="21"/>
      <c r="D51" s="22" t="s">
        <v>144</v>
      </c>
      <c r="E51" s="6"/>
      <c r="F51" s="23">
        <f>IF(B128=0,B129*MAX(0,SUM(B21:B22)-B44),IF((B128&lt;=MAX(0,B129*MAX(0,SUM(B21:B22)-B44))),MAX(0,B128),B129*MAX(0,SUM(B21:B22)-B44)))</f>
        <v>0</v>
      </c>
      <c r="G51" s="14"/>
      <c r="H51" s="25" t="s">
        <v>53</v>
      </c>
      <c r="I51" s="6"/>
      <c r="J51" s="27">
        <v>0</v>
      </c>
      <c r="K51" s="24"/>
      <c r="L51" s="25" t="s">
        <v>90</v>
      </c>
      <c r="M51" s="6"/>
      <c r="N51" s="27">
        <v>0</v>
      </c>
      <c r="O51" s="24"/>
      <c r="P51" s="25" t="s">
        <v>90</v>
      </c>
      <c r="Q51" s="4"/>
      <c r="R51" s="6"/>
      <c r="S51" s="7"/>
      <c r="T51" s="1"/>
      <c r="U51" s="1"/>
      <c r="V51" s="1"/>
      <c r="W51" s="1"/>
      <c r="X51" s="1"/>
      <c r="Y51" s="1"/>
    </row>
    <row r="52" spans="2:25" x14ac:dyDescent="0.2">
      <c r="B52" s="23">
        <f>B23-B41</f>
        <v>0</v>
      </c>
      <c r="C52" s="24"/>
      <c r="D52" s="25" t="s">
        <v>145</v>
      </c>
      <c r="E52" s="6"/>
      <c r="F52" s="23">
        <f>B130*(MAX(0,SUM(B21:B22)+B52-B44-B111))</f>
        <v>0</v>
      </c>
      <c r="G52" s="14"/>
      <c r="H52" s="25" t="s">
        <v>85</v>
      </c>
      <c r="I52" s="6"/>
      <c r="J52" s="27">
        <v>0</v>
      </c>
      <c r="K52" s="24"/>
      <c r="L52" s="25" t="s">
        <v>92</v>
      </c>
      <c r="M52" s="6"/>
      <c r="N52" s="27">
        <v>0</v>
      </c>
      <c r="O52" s="24"/>
      <c r="P52" s="25" t="s">
        <v>92</v>
      </c>
      <c r="Q52" s="4"/>
      <c r="R52" s="6"/>
      <c r="S52" s="7"/>
      <c r="T52" s="1"/>
      <c r="U52" s="1"/>
      <c r="V52" s="1"/>
      <c r="W52" s="1"/>
      <c r="X52" s="1"/>
      <c r="Y52" s="1"/>
    </row>
    <row r="53" spans="2:25" x14ac:dyDescent="0.2">
      <c r="B53" s="23">
        <f>IF(SUM(B30:B32)-B45&gt;0,0,IF((B45-SUM(B30:B32))&gt;B137,(B45-B137-SUM(B30:B32)),0))</f>
        <v>0</v>
      </c>
      <c r="C53" s="24"/>
      <c r="D53" s="25" t="s">
        <v>146</v>
      </c>
      <c r="E53" s="6"/>
      <c r="F53" s="23">
        <f>IF(SUM(B21:B22)+SUM(B24:B36)+B52-SUM(B44:B45)&gt;B111,B110*MAX(0,MIN(SUM(B24:B27)+SUM(B29:B32)-(IF(B51=0,0,(SUM(B24:B27)+SUM(B29:B32))/B51)*F35),SUM(B21:B22)+SUM(B24:B36)+B52-SUM(B44:B45)-B111)),0)</f>
        <v>0</v>
      </c>
      <c r="H53" s="25" t="s">
        <v>186</v>
      </c>
      <c r="I53" s="6"/>
      <c r="J53" s="27">
        <v>0</v>
      </c>
      <c r="K53" s="24"/>
      <c r="L53" s="25" t="s">
        <v>93</v>
      </c>
      <c r="M53" s="6"/>
      <c r="N53" s="27">
        <v>0</v>
      </c>
      <c r="O53" s="24"/>
      <c r="P53" s="25" t="s">
        <v>93</v>
      </c>
      <c r="Q53" s="4"/>
      <c r="R53" s="6"/>
      <c r="S53" s="7"/>
      <c r="T53" s="1"/>
      <c r="U53" s="1"/>
      <c r="V53" s="1"/>
      <c r="W53" s="1"/>
      <c r="X53" s="1"/>
      <c r="Y53" s="1"/>
    </row>
    <row r="54" spans="2:25" x14ac:dyDescent="0.2">
      <c r="B54" s="23">
        <f>MAX(0,B31-B45)+B29</f>
        <v>0</v>
      </c>
      <c r="C54" s="24"/>
      <c r="D54" s="25" t="s">
        <v>105</v>
      </c>
      <c r="E54" s="6"/>
      <c r="F54" s="23">
        <f>IF(B132=0,B135*MAX(0,SUM(B21:B22)-B44),MIN(B132/2,B135*MIN(B133,MAX(0,B21-B44)))+MIN(B132/2,B135*MIN(B133,B22)))</f>
        <v>0</v>
      </c>
      <c r="G54" s="24"/>
      <c r="H54" s="25" t="s">
        <v>39</v>
      </c>
      <c r="I54" s="6"/>
      <c r="J54" s="27">
        <v>0</v>
      </c>
      <c r="K54" s="24"/>
      <c r="L54" s="25" t="s">
        <v>94</v>
      </c>
      <c r="M54" s="6"/>
      <c r="N54" s="27">
        <v>0</v>
      </c>
      <c r="O54" s="24"/>
      <c r="P54" s="25" t="s">
        <v>94</v>
      </c>
      <c r="Q54" s="4"/>
      <c r="R54" s="6"/>
      <c r="S54" s="7"/>
      <c r="T54" s="1"/>
      <c r="U54" s="1"/>
      <c r="V54" s="1"/>
      <c r="W54" s="1"/>
      <c r="X54" s="1"/>
      <c r="Y54" s="1"/>
    </row>
    <row r="55" spans="2:25" x14ac:dyDescent="0.2">
      <c r="B55" s="23">
        <f>MAX(0,MIN(B32,SUM(B31:B32)-B45))</f>
        <v>0</v>
      </c>
      <c r="C55" s="24"/>
      <c r="D55" s="25" t="s">
        <v>171</v>
      </c>
      <c r="E55" s="6"/>
      <c r="F55" s="23">
        <f>IF(OR(B77="1",B77="y",B77="Y",B77="yes",B77="YES",B77="Yes",B77="true",B77="TRUE",B77="True"),MAX(0,F54-(B133*B135)),0)</f>
        <v>0</v>
      </c>
      <c r="G55" s="24"/>
      <c r="H55" s="25" t="s">
        <v>42</v>
      </c>
      <c r="I55" s="6"/>
      <c r="J55" s="27">
        <v>0</v>
      </c>
      <c r="K55" s="24"/>
      <c r="L55" s="25" t="s">
        <v>95</v>
      </c>
      <c r="M55" s="6"/>
      <c r="N55" s="27">
        <v>0</v>
      </c>
      <c r="O55" s="24"/>
      <c r="P55" s="25" t="s">
        <v>95</v>
      </c>
      <c r="Q55" s="4"/>
      <c r="R55" s="6"/>
      <c r="S55" s="7"/>
      <c r="T55" s="1"/>
      <c r="U55" s="1"/>
      <c r="V55" s="1"/>
      <c r="W55" s="1"/>
      <c r="X55" s="1"/>
      <c r="Y55" s="1"/>
    </row>
    <row r="56" spans="2:25" x14ac:dyDescent="0.2">
      <c r="B56" s="23">
        <f>IF(B54+B55&lt;&gt;B38,B54+B55,MAX(0,MIN(F46,B54+B55)-B86))</f>
        <v>0</v>
      </c>
      <c r="C56" s="24"/>
      <c r="D56" s="25" t="s">
        <v>142</v>
      </c>
      <c r="E56" s="6"/>
      <c r="F56" s="76"/>
      <c r="G56" s="34"/>
      <c r="H56" s="51"/>
      <c r="I56" s="6"/>
      <c r="J56" s="27">
        <v>0</v>
      </c>
      <c r="K56" s="24"/>
      <c r="L56" s="25" t="s">
        <v>96</v>
      </c>
      <c r="M56" s="6"/>
      <c r="N56" s="27">
        <v>0</v>
      </c>
      <c r="O56" s="24"/>
      <c r="P56" s="25" t="s">
        <v>96</v>
      </c>
      <c r="Q56" s="4"/>
      <c r="R56" s="6"/>
      <c r="S56" s="7"/>
      <c r="T56" s="1"/>
      <c r="U56" s="1"/>
      <c r="V56" s="1"/>
      <c r="W56" s="1"/>
      <c r="X56" s="1"/>
      <c r="Y56" s="1"/>
    </row>
    <row r="57" spans="2:25" x14ac:dyDescent="0.2">
      <c r="B57" s="23">
        <f>B51*IF(SUM(B75:B76)=0,B138,B139)</f>
        <v>0</v>
      </c>
      <c r="C57" s="14"/>
      <c r="D57" s="25" t="s">
        <v>50</v>
      </c>
      <c r="E57" s="6"/>
      <c r="F57" s="23">
        <f>IF(B127*B52&lt;B134,0,IF(B133=0,B131*B127*B52,IF(OR(B77="1",B77="y",B77="Y",B77="yes",B77="YES",B77="Yes",B77="true",B77="TRUE",B77="True"),IF(B21+B22&gt;B133,0,B131*MIN(B133-B21-B22,B127*B52)),IF(B21&gt;B133,0,B131*MIN(B133-B21,B127*B52)))))</f>
        <v>0</v>
      </c>
      <c r="G57" s="24"/>
      <c r="H57" s="25" t="s">
        <v>44</v>
      </c>
      <c r="I57" s="6"/>
      <c r="J57" s="27">
        <v>0</v>
      </c>
      <c r="K57" s="24"/>
      <c r="L57" s="25" t="s">
        <v>98</v>
      </c>
      <c r="M57" s="6"/>
      <c r="N57" s="27">
        <v>0</v>
      </c>
      <c r="O57" s="24"/>
      <c r="P57" s="25" t="s">
        <v>98</v>
      </c>
      <c r="Q57" s="4"/>
      <c r="R57" s="6"/>
      <c r="S57" s="7"/>
      <c r="T57" s="1"/>
      <c r="U57" s="1"/>
      <c r="V57" s="1"/>
      <c r="W57" s="1"/>
      <c r="X57" s="1"/>
      <c r="Y57" s="1"/>
    </row>
    <row r="58" spans="2:25" x14ac:dyDescent="0.2">
      <c r="B58" s="23">
        <f>(0*B51*B143)+F32</f>
        <v>0</v>
      </c>
      <c r="C58" s="14"/>
      <c r="D58" s="25" t="s">
        <v>49</v>
      </c>
      <c r="E58" s="1"/>
      <c r="F58" s="23">
        <f>IF(B127*B52&lt;B134,0,IF(B128=0,MAX(0,B126*B127*B52),IF(B128&lt;=MAX(0,B126*B127*B52),B128,MAX(0,B126*B127*B52))))</f>
        <v>0</v>
      </c>
      <c r="G58" s="24"/>
      <c r="H58" s="25" t="s">
        <v>45</v>
      </c>
      <c r="I58" s="1"/>
      <c r="J58" s="27">
        <v>0</v>
      </c>
      <c r="K58" s="24"/>
      <c r="L58" s="25" t="s">
        <v>99</v>
      </c>
      <c r="M58" s="6"/>
      <c r="N58" s="27">
        <v>0</v>
      </c>
      <c r="O58" s="24"/>
      <c r="P58" s="25" t="s">
        <v>99</v>
      </c>
      <c r="Q58" s="4"/>
      <c r="R58" s="6"/>
      <c r="S58" s="7"/>
      <c r="T58" s="1"/>
      <c r="U58" s="1"/>
      <c r="V58" s="1"/>
      <c r="W58" s="1"/>
      <c r="X58" s="1"/>
      <c r="Y58" s="1"/>
    </row>
    <row r="59" spans="2:25" x14ac:dyDescent="0.2">
      <c r="B59" s="23">
        <f>MAX(0,F31-B43-B57)+MAX(0,F32-B58)</f>
        <v>0</v>
      </c>
      <c r="C59" s="24"/>
      <c r="D59" s="25" t="s">
        <v>152</v>
      </c>
      <c r="E59" s="1"/>
      <c r="F59" s="23">
        <f>F57+F58</f>
        <v>0</v>
      </c>
      <c r="G59" s="24"/>
      <c r="H59" s="25" t="s">
        <v>47</v>
      </c>
      <c r="I59" s="1"/>
      <c r="J59" s="27">
        <v>0</v>
      </c>
      <c r="K59" s="24"/>
      <c r="L59" s="25" t="s">
        <v>102</v>
      </c>
      <c r="M59" s="6"/>
      <c r="N59" s="27">
        <v>0</v>
      </c>
      <c r="O59" s="24"/>
      <c r="P59" s="25" t="s">
        <v>102</v>
      </c>
      <c r="Q59" s="4"/>
      <c r="R59" s="6"/>
      <c r="S59" s="7"/>
    </row>
    <row r="60" spans="2:25" x14ac:dyDescent="0.2">
      <c r="B60" s="23">
        <f>MAX(0,MIN(B51*B144,SUM(F28:F29))-(B51*B145)-MIN(B146*SUM(F28:F29),MAX(0,B146*(B51+SUM(F28:F29)-B98))))</f>
        <v>0</v>
      </c>
      <c r="D60" s="25" t="s">
        <v>15</v>
      </c>
      <c r="E60" s="1"/>
      <c r="F60" s="50"/>
      <c r="G60" s="34"/>
      <c r="H60" s="51"/>
      <c r="I60" s="1"/>
      <c r="J60" s="27">
        <v>0</v>
      </c>
      <c r="K60" s="24"/>
      <c r="L60" s="25" t="s">
        <v>103</v>
      </c>
      <c r="M60" s="6"/>
      <c r="N60" s="27">
        <v>0</v>
      </c>
      <c r="O60" s="24"/>
      <c r="P60" s="25" t="s">
        <v>103</v>
      </c>
      <c r="Q60" s="4"/>
      <c r="R60" s="6"/>
      <c r="S60" s="7"/>
    </row>
    <row r="61" spans="2:25" x14ac:dyDescent="0.2">
      <c r="B61" s="23">
        <f>MIN(B148,SUM(F22:F26))</f>
        <v>0</v>
      </c>
      <c r="D61" s="25" t="s">
        <v>249</v>
      </c>
      <c r="E61" s="1"/>
      <c r="F61" s="52">
        <f>F49+F50+F52+F53-F55+F59</f>
        <v>0</v>
      </c>
      <c r="G61" s="24"/>
      <c r="H61" s="25" t="s">
        <v>165</v>
      </c>
      <c r="I61" s="1"/>
      <c r="J61" s="23"/>
      <c r="K61" s="24"/>
      <c r="L61" s="29"/>
      <c r="M61" s="6"/>
      <c r="N61" s="23"/>
      <c r="O61" s="24"/>
      <c r="P61" s="29"/>
      <c r="Q61" s="4"/>
      <c r="R61" s="6"/>
      <c r="S61" s="7"/>
    </row>
    <row r="62" spans="2:25" ht="13.5" thickBot="1" x14ac:dyDescent="0.25">
      <c r="B62" s="66">
        <f>B38-F51-F54-F62-F22-F23</f>
        <v>0</v>
      </c>
      <c r="C62" s="31"/>
      <c r="D62" s="32" t="s">
        <v>58</v>
      </c>
      <c r="F62" s="74">
        <f>IF(OR(B78="1",B78="y",B78="Y",B78="yes",B78="YES",B78="Yes",B78="true",B78="TRUE",B78="True"),ROUND(F61+N29,0),F61+N29)</f>
        <v>0</v>
      </c>
      <c r="G62" s="14"/>
      <c r="H62" s="53" t="s">
        <v>168</v>
      </c>
      <c r="I62" s="6"/>
      <c r="J62" s="47">
        <f>SUM(J49:J60)</f>
        <v>0</v>
      </c>
      <c r="K62" s="31"/>
      <c r="L62" s="32" t="s">
        <v>25</v>
      </c>
      <c r="M62" s="6"/>
      <c r="N62" s="47">
        <f>SUM(N49:N60)</f>
        <v>0</v>
      </c>
      <c r="O62" s="31"/>
      <c r="P62" s="32" t="s">
        <v>26</v>
      </c>
      <c r="Q62" s="4"/>
      <c r="R62" s="6"/>
      <c r="S62" s="7"/>
    </row>
    <row r="63" spans="2:25" x14ac:dyDescent="0.2">
      <c r="F63" s="36"/>
      <c r="G63" s="14"/>
      <c r="H63" s="37"/>
      <c r="I63" s="6"/>
      <c r="J63" s="4"/>
      <c r="K63" s="6"/>
      <c r="L63" s="7"/>
      <c r="M63" s="6"/>
      <c r="N63" s="4"/>
      <c r="O63" s="6"/>
      <c r="P63" s="7"/>
      <c r="Q63" s="4"/>
      <c r="R63" s="6"/>
      <c r="S63" s="7"/>
    </row>
    <row r="64" spans="2:25" ht="13.5" thickBot="1" x14ac:dyDescent="0.25">
      <c r="B64" s="8" t="s">
        <v>226</v>
      </c>
      <c r="F64" s="27">
        <v>0</v>
      </c>
      <c r="G64" s="24"/>
      <c r="H64" s="25" t="s">
        <v>34</v>
      </c>
      <c r="I64" s="6"/>
      <c r="J64" s="8" t="s">
        <v>82</v>
      </c>
      <c r="K64" s="6"/>
      <c r="L64" s="7"/>
      <c r="M64" s="6"/>
      <c r="N64" s="4"/>
      <c r="O64" s="6"/>
      <c r="P64" s="7"/>
      <c r="Q64" s="4"/>
      <c r="R64" s="6"/>
      <c r="S64" s="7"/>
    </row>
    <row r="65" spans="2:19" x14ac:dyDescent="0.2">
      <c r="B65" s="91">
        <f>B23-B42-B43+B36</f>
        <v>0</v>
      </c>
      <c r="C65" s="92"/>
      <c r="D65" s="93" t="s">
        <v>234</v>
      </c>
      <c r="F65" s="27">
        <v>0</v>
      </c>
      <c r="G65" s="24"/>
      <c r="H65" s="25" t="s">
        <v>112</v>
      </c>
      <c r="I65" s="6"/>
      <c r="J65" s="33">
        <v>0</v>
      </c>
      <c r="K65" s="21"/>
      <c r="L65" s="22" t="s">
        <v>87</v>
      </c>
      <c r="M65" s="6"/>
      <c r="N65" s="4"/>
      <c r="O65" s="6"/>
      <c r="P65" s="7"/>
      <c r="Q65" s="4"/>
      <c r="R65" s="6"/>
      <c r="S65" s="7"/>
    </row>
    <row r="66" spans="2:19" x14ac:dyDescent="0.2">
      <c r="B66" s="67">
        <f>MAX(0,MIN(1,(((B51-F38-F42)-ROUND(B164*B161,-1))/B162)))</f>
        <v>0</v>
      </c>
      <c r="C66" s="19"/>
      <c r="D66" s="90" t="s">
        <v>235</v>
      </c>
      <c r="F66" s="27">
        <v>0</v>
      </c>
      <c r="G66" s="24"/>
      <c r="H66" s="25" t="s">
        <v>17</v>
      </c>
      <c r="I66" s="6"/>
      <c r="J66" s="27">
        <v>0</v>
      </c>
      <c r="K66" s="24"/>
      <c r="L66" s="25" t="s">
        <v>89</v>
      </c>
      <c r="M66" s="6"/>
      <c r="N66" s="4"/>
      <c r="O66" s="6"/>
      <c r="P66" s="7"/>
      <c r="Q66" s="4"/>
      <c r="R66" s="6"/>
      <c r="S66" s="7"/>
    </row>
    <row r="67" spans="2:19" x14ac:dyDescent="0.2">
      <c r="B67" s="23">
        <f>B65*(1-(B66*IF(OR(B81="1",B81="y",B81="Y",B81="yes",B81="YES",B81="Yes",B81="true",B81="TRUE",B81="True"),1,0)))</f>
        <v>0</v>
      </c>
      <c r="C67" s="19"/>
      <c r="D67" s="90" t="s">
        <v>236</v>
      </c>
      <c r="F67" s="23">
        <f>IF(B119&gt;B51,B118*B79,MAX(0,(B118*B79)-CEILING((B51-B119),B120)*B121))</f>
        <v>2200</v>
      </c>
      <c r="G67" s="15"/>
      <c r="H67" s="25" t="s">
        <v>111</v>
      </c>
      <c r="I67" s="6"/>
      <c r="J67" s="27">
        <v>0</v>
      </c>
      <c r="K67" s="24"/>
      <c r="L67" s="25" t="s">
        <v>90</v>
      </c>
      <c r="M67" s="6"/>
      <c r="N67" s="4"/>
      <c r="O67" s="6"/>
      <c r="P67" s="7"/>
      <c r="Q67" s="4"/>
      <c r="R67" s="6"/>
      <c r="S67" s="7"/>
    </row>
    <row r="68" spans="2:19" x14ac:dyDescent="0.2">
      <c r="B68" s="94">
        <f>B67+B35</f>
        <v>0</v>
      </c>
      <c r="C68" s="19"/>
      <c r="D68" s="95" t="s">
        <v>237</v>
      </c>
      <c r="F68" s="54">
        <f>IF(OR(B78="1",B78="y",B78="Y",B78="yes",B78="YES",B78="Yes",B78="true",B78="TRUE",B78="True"),ROUND(MAX(0,F62-F67)-(F64+F66+MIN(F65,N29)),0),MAX(0,F62-F67)-(F64+F66+MIN(F65,N29)))</f>
        <v>0</v>
      </c>
      <c r="G68" s="24"/>
      <c r="H68" s="25" t="s">
        <v>37</v>
      </c>
      <c r="I68" s="6"/>
      <c r="J68" s="27">
        <v>0</v>
      </c>
      <c r="K68" s="24"/>
      <c r="L68" s="25" t="s">
        <v>92</v>
      </c>
      <c r="M68" s="6"/>
      <c r="N68" s="4"/>
      <c r="O68" s="6"/>
      <c r="P68" s="7"/>
      <c r="Q68" s="4"/>
      <c r="R68" s="6"/>
      <c r="S68" s="7"/>
    </row>
    <row r="69" spans="2:19" x14ac:dyDescent="0.2">
      <c r="B69" s="23">
        <f>B51-F38-F42-B29-MIN(B31,IF(B31&gt;0,SUM(B30:B31)))</f>
        <v>-24150</v>
      </c>
      <c r="C69" s="19"/>
      <c r="D69" s="95" t="s">
        <v>238</v>
      </c>
      <c r="F69" s="23">
        <f>J78</f>
        <v>0</v>
      </c>
      <c r="G69" s="24"/>
      <c r="H69" s="25" t="s">
        <v>40</v>
      </c>
      <c r="I69" s="6"/>
      <c r="J69" s="27">
        <v>0</v>
      </c>
      <c r="K69" s="24"/>
      <c r="L69" s="25" t="s">
        <v>93</v>
      </c>
      <c r="M69" s="6"/>
      <c r="N69" s="4"/>
      <c r="O69" s="6"/>
      <c r="P69" s="7"/>
      <c r="Q69" s="4"/>
      <c r="R69" s="6"/>
      <c r="S69" s="7"/>
    </row>
    <row r="70" spans="2:19" ht="13.5" thickBot="1" x14ac:dyDescent="0.25">
      <c r="B70" s="73">
        <f>MAX(0,B163*(MIN(B68,B69)),IF(MIN(B68,B69)&lt;B165,0,B166))</f>
        <v>0</v>
      </c>
      <c r="C70" s="96"/>
      <c r="D70" s="32" t="s">
        <v>225</v>
      </c>
      <c r="F70" s="80">
        <f>IF(OR(B78="1",B78="y",B78="Y",B78="yes",B78="YES",B78="Yes",B78="true",B78="TRUE",B78="True"),ROUND(F68-F69,0),F68-F69)</f>
        <v>0</v>
      </c>
      <c r="G70" s="31"/>
      <c r="H70" s="32" t="s">
        <v>51</v>
      </c>
      <c r="I70" s="6"/>
      <c r="J70" s="27">
        <v>0</v>
      </c>
      <c r="K70" s="24"/>
      <c r="L70" s="25" t="s">
        <v>94</v>
      </c>
      <c r="M70" s="6"/>
      <c r="N70" s="4"/>
      <c r="O70" s="6"/>
      <c r="P70" s="7"/>
      <c r="Q70" s="4"/>
      <c r="R70" s="6"/>
      <c r="S70" s="7"/>
    </row>
    <row r="71" spans="2:19" ht="13.5" thickBot="1" x14ac:dyDescent="0.25">
      <c r="B71" s="69"/>
      <c r="C71" s="70"/>
      <c r="D71" s="69"/>
      <c r="E71" s="71"/>
      <c r="F71" s="69"/>
      <c r="G71" s="70"/>
      <c r="H71" s="69"/>
      <c r="I71" s="6"/>
      <c r="J71" s="27">
        <v>0</v>
      </c>
      <c r="K71" s="24"/>
      <c r="L71" s="25" t="s">
        <v>95</v>
      </c>
      <c r="M71" s="6"/>
      <c r="N71" s="4"/>
      <c r="O71" s="6"/>
      <c r="P71" s="7"/>
      <c r="Q71" s="4"/>
      <c r="R71" s="6"/>
      <c r="S71" s="7"/>
    </row>
    <row r="72" spans="2:19" ht="13.5" thickTop="1" x14ac:dyDescent="0.2">
      <c r="I72" s="6"/>
      <c r="J72" s="27">
        <v>0</v>
      </c>
      <c r="K72" s="24"/>
      <c r="L72" s="25" t="s">
        <v>96</v>
      </c>
      <c r="M72" s="6"/>
      <c r="N72" s="4"/>
      <c r="O72" s="6"/>
      <c r="P72" s="7"/>
    </row>
    <row r="73" spans="2:19" ht="13.5" thickBot="1" x14ac:dyDescent="0.25">
      <c r="B73" s="8" t="s">
        <v>56</v>
      </c>
      <c r="C73" s="6"/>
      <c r="D73" s="7"/>
      <c r="E73" s="6"/>
      <c r="F73" s="8" t="s">
        <v>48</v>
      </c>
      <c r="G73" s="6"/>
      <c r="H73" s="7"/>
      <c r="I73" s="6"/>
      <c r="J73" s="27">
        <v>0</v>
      </c>
      <c r="K73" s="24"/>
      <c r="L73" s="25" t="s">
        <v>98</v>
      </c>
      <c r="M73" s="6"/>
      <c r="N73" s="4"/>
      <c r="O73" s="6"/>
      <c r="P73" s="7"/>
    </row>
    <row r="74" spans="2:19" x14ac:dyDescent="0.2">
      <c r="B74" s="68">
        <v>2</v>
      </c>
      <c r="C74" s="21"/>
      <c r="D74" s="22" t="s">
        <v>9</v>
      </c>
      <c r="E74" s="6"/>
      <c r="F74" s="55" t="s">
        <v>113</v>
      </c>
      <c r="G74" s="21"/>
      <c r="H74" s="22" t="s">
        <v>114</v>
      </c>
      <c r="I74" s="6"/>
      <c r="J74" s="27">
        <v>0</v>
      </c>
      <c r="K74" s="24"/>
      <c r="L74" s="25" t="s">
        <v>99</v>
      </c>
      <c r="M74" s="6"/>
      <c r="N74" s="4"/>
      <c r="O74" s="6"/>
      <c r="P74" s="7"/>
    </row>
    <row r="75" spans="2:19" x14ac:dyDescent="0.2">
      <c r="B75" s="72">
        <v>0</v>
      </c>
      <c r="C75" s="24"/>
      <c r="D75" s="25" t="s">
        <v>242</v>
      </c>
      <c r="E75" s="6"/>
      <c r="F75" s="56"/>
      <c r="G75" s="24"/>
      <c r="H75" s="25" t="s">
        <v>115</v>
      </c>
      <c r="I75" s="6"/>
      <c r="J75" s="27">
        <v>0</v>
      </c>
      <c r="K75" s="24"/>
      <c r="L75" s="25" t="s">
        <v>102</v>
      </c>
      <c r="M75" s="6"/>
      <c r="N75" s="4"/>
      <c r="O75" s="6"/>
      <c r="P75" s="7"/>
    </row>
    <row r="76" spans="2:19" x14ac:dyDescent="0.2">
      <c r="B76" s="72">
        <v>0</v>
      </c>
      <c r="C76" s="24"/>
      <c r="D76" s="25" t="s">
        <v>241</v>
      </c>
      <c r="E76" s="6"/>
      <c r="F76" s="57"/>
      <c r="G76" s="24"/>
      <c r="H76" s="25" t="s">
        <v>116</v>
      </c>
      <c r="I76" s="6"/>
      <c r="J76" s="27">
        <v>0</v>
      </c>
      <c r="K76" s="24"/>
      <c r="L76" s="25" t="s">
        <v>103</v>
      </c>
      <c r="M76" s="6"/>
      <c r="N76" s="4"/>
      <c r="O76" s="6"/>
      <c r="P76" s="7"/>
    </row>
    <row r="77" spans="2:19" x14ac:dyDescent="0.2">
      <c r="B77" s="75" t="s">
        <v>156</v>
      </c>
      <c r="C77" s="14"/>
      <c r="D77" s="25" t="s">
        <v>157</v>
      </c>
      <c r="E77" s="6"/>
      <c r="F77" s="58"/>
      <c r="G77" s="24"/>
      <c r="H77" s="25" t="s">
        <v>117</v>
      </c>
      <c r="I77" s="6"/>
      <c r="J77" s="23"/>
      <c r="K77" s="24"/>
      <c r="L77" s="29"/>
      <c r="M77" s="6"/>
      <c r="N77" s="4"/>
      <c r="O77" s="6"/>
      <c r="P77" s="7"/>
    </row>
    <row r="78" spans="2:19" ht="13.5" thickBot="1" x14ac:dyDescent="0.25">
      <c r="B78" s="75" t="s">
        <v>158</v>
      </c>
      <c r="C78" s="14"/>
      <c r="D78" s="25" t="s">
        <v>16</v>
      </c>
      <c r="E78" s="6"/>
      <c r="F78" s="59"/>
      <c r="G78" s="24"/>
      <c r="H78" s="25" t="s">
        <v>75</v>
      </c>
      <c r="I78" s="6"/>
      <c r="J78" s="49">
        <f>SUM(J65:J76)</f>
        <v>0</v>
      </c>
      <c r="K78" s="31"/>
      <c r="L78" s="32" t="s">
        <v>104</v>
      </c>
      <c r="M78" s="6"/>
      <c r="N78" s="4"/>
      <c r="O78" s="6"/>
      <c r="P78" s="7"/>
    </row>
    <row r="79" spans="2:19" x14ac:dyDescent="0.2">
      <c r="B79" s="77">
        <f>B74-1</f>
        <v>1</v>
      </c>
      <c r="C79" s="24"/>
      <c r="D79" s="25" t="s">
        <v>135</v>
      </c>
      <c r="E79" s="6"/>
      <c r="F79" s="60" t="s">
        <v>118</v>
      </c>
      <c r="G79" s="24"/>
      <c r="H79" s="25" t="s">
        <v>119</v>
      </c>
      <c r="I79" s="6"/>
      <c r="J79" s="3"/>
      <c r="K79" s="1"/>
      <c r="L79" s="2"/>
      <c r="M79" s="1"/>
      <c r="N79" s="3"/>
      <c r="O79" s="1"/>
      <c r="P79" s="2"/>
    </row>
    <row r="80" spans="2:19" x14ac:dyDescent="0.2">
      <c r="B80" s="75" t="s">
        <v>156</v>
      </c>
      <c r="C80" s="14"/>
      <c r="D80" s="25" t="s">
        <v>224</v>
      </c>
      <c r="E80" s="6"/>
      <c r="F80" s="61" t="s">
        <v>120</v>
      </c>
      <c r="G80" s="24"/>
      <c r="H80" s="25" t="s">
        <v>121</v>
      </c>
      <c r="I80" s="6"/>
      <c r="J80" s="3"/>
      <c r="K80" s="1"/>
      <c r="L80" s="2"/>
      <c r="M80" s="1"/>
      <c r="N80" s="3"/>
      <c r="O80" s="1"/>
      <c r="P80" s="2"/>
    </row>
    <row r="81" spans="2:16" x14ac:dyDescent="0.2">
      <c r="B81" s="75" t="s">
        <v>156</v>
      </c>
      <c r="C81" s="14"/>
      <c r="D81" s="90" t="s">
        <v>229</v>
      </c>
      <c r="E81" s="6"/>
      <c r="F81" s="62" t="s">
        <v>122</v>
      </c>
      <c r="G81" s="24"/>
      <c r="H81" s="25" t="s">
        <v>123</v>
      </c>
      <c r="I81" s="6"/>
      <c r="J81" s="3"/>
      <c r="K81" s="1"/>
      <c r="L81" s="2"/>
      <c r="M81" s="1"/>
      <c r="N81" s="3"/>
      <c r="O81" s="1"/>
      <c r="P81" s="2"/>
    </row>
    <row r="82" spans="2:16" x14ac:dyDescent="0.2">
      <c r="B82" s="67">
        <v>0.1</v>
      </c>
      <c r="C82" s="24"/>
      <c r="D82" s="25" t="s">
        <v>70</v>
      </c>
      <c r="E82" s="6"/>
      <c r="F82" s="63" t="s">
        <v>124</v>
      </c>
      <c r="G82" s="24"/>
      <c r="H82" s="25" t="s">
        <v>125</v>
      </c>
      <c r="I82" s="6"/>
      <c r="J82" s="3"/>
      <c r="K82" s="1"/>
      <c r="L82" s="2"/>
      <c r="M82" s="1"/>
      <c r="N82" s="3"/>
      <c r="O82" s="1"/>
      <c r="P82" s="2"/>
    </row>
    <row r="83" spans="2:16" x14ac:dyDescent="0.2">
      <c r="B83" s="23">
        <v>17700</v>
      </c>
      <c r="C83" s="24"/>
      <c r="D83" s="25" t="s">
        <v>187</v>
      </c>
      <c r="E83" s="6"/>
      <c r="F83" s="23">
        <v>0</v>
      </c>
      <c r="G83" s="24"/>
      <c r="H83" s="25" t="s">
        <v>126</v>
      </c>
      <c r="I83" s="6"/>
      <c r="J83" s="3"/>
      <c r="K83" s="1"/>
      <c r="L83" s="2"/>
      <c r="M83" s="1"/>
      <c r="N83" s="3"/>
      <c r="O83" s="1"/>
      <c r="P83" s="2"/>
    </row>
    <row r="84" spans="2:16" x14ac:dyDescent="0.2">
      <c r="B84" s="23">
        <v>1770</v>
      </c>
      <c r="C84" s="24"/>
      <c r="D84" s="25" t="s">
        <v>188</v>
      </c>
      <c r="E84" s="6"/>
      <c r="F84" s="23">
        <v>123.45</v>
      </c>
      <c r="G84" s="24"/>
      <c r="H84" s="25" t="s">
        <v>127</v>
      </c>
      <c r="I84" s="6"/>
      <c r="J84" s="3"/>
      <c r="K84" s="1"/>
      <c r="L84" s="2"/>
      <c r="M84" s="1"/>
      <c r="N84" s="3"/>
      <c r="O84" s="1"/>
      <c r="P84" s="2"/>
    </row>
    <row r="85" spans="2:16" x14ac:dyDescent="0.2">
      <c r="B85" s="67">
        <v>0.12</v>
      </c>
      <c r="C85" s="24"/>
      <c r="D85" s="25" t="s">
        <v>189</v>
      </c>
      <c r="E85" s="6"/>
      <c r="F85" s="23">
        <v>-123.45</v>
      </c>
      <c r="G85" s="24"/>
      <c r="H85" s="25" t="s">
        <v>128</v>
      </c>
      <c r="I85" s="6"/>
      <c r="J85" s="4"/>
      <c r="K85" s="6"/>
      <c r="L85" s="11"/>
      <c r="M85" s="6"/>
      <c r="N85" s="4"/>
      <c r="O85" s="6"/>
      <c r="P85" s="7"/>
    </row>
    <row r="86" spans="2:16" ht="13.5" thickBot="1" x14ac:dyDescent="0.25">
      <c r="B86" s="23">
        <v>67450</v>
      </c>
      <c r="C86" s="24"/>
      <c r="D86" s="25" t="s">
        <v>190</v>
      </c>
      <c r="E86" s="6"/>
      <c r="F86" s="64">
        <v>2.9000000000000001E-2</v>
      </c>
      <c r="G86" s="31"/>
      <c r="H86" s="32" t="s">
        <v>129</v>
      </c>
      <c r="I86" s="6"/>
      <c r="J86" s="4"/>
      <c r="K86" s="6"/>
      <c r="L86" s="7"/>
      <c r="M86" s="6"/>
      <c r="N86" s="4"/>
      <c r="O86" s="6"/>
      <c r="P86" s="7"/>
    </row>
    <row r="87" spans="2:16" x14ac:dyDescent="0.2">
      <c r="B87" s="23">
        <v>7740</v>
      </c>
      <c r="C87" s="24"/>
      <c r="D87" s="25" t="s">
        <v>191</v>
      </c>
      <c r="E87" s="6"/>
      <c r="F87"/>
      <c r="G87"/>
      <c r="H87"/>
      <c r="I87" s="6"/>
      <c r="J87" s="4"/>
      <c r="K87" s="6"/>
      <c r="L87" s="7"/>
      <c r="M87" s="6"/>
      <c r="N87" s="4"/>
      <c r="O87" s="6"/>
      <c r="P87" s="7"/>
    </row>
    <row r="88" spans="2:16" x14ac:dyDescent="0.2">
      <c r="B88" s="67">
        <v>0.22</v>
      </c>
      <c r="C88" s="24"/>
      <c r="D88" s="25" t="s">
        <v>192</v>
      </c>
      <c r="E88" s="6"/>
      <c r="F88"/>
      <c r="G88"/>
      <c r="H88"/>
      <c r="I88" s="6"/>
      <c r="J88" s="4"/>
      <c r="K88" s="6"/>
      <c r="L88" s="7"/>
      <c r="M88" s="6"/>
      <c r="N88" s="4"/>
      <c r="O88" s="6"/>
      <c r="P88" s="7"/>
    </row>
    <row r="89" spans="2:16" x14ac:dyDescent="0.2">
      <c r="B89" s="23">
        <v>105700</v>
      </c>
      <c r="C89" s="24"/>
      <c r="D89" s="25" t="s">
        <v>193</v>
      </c>
      <c r="E89" s="6"/>
      <c r="F89"/>
      <c r="G89"/>
      <c r="H89"/>
      <c r="I89" s="6"/>
      <c r="J89" s="4"/>
      <c r="K89" s="6"/>
      <c r="L89" s="7"/>
      <c r="M89" s="6"/>
      <c r="N89" s="4"/>
      <c r="O89" s="6"/>
      <c r="P89" s="7"/>
    </row>
    <row r="90" spans="2:16" x14ac:dyDescent="0.2">
      <c r="B90" s="23">
        <v>16155</v>
      </c>
      <c r="C90" s="24"/>
      <c r="D90" s="25" t="s">
        <v>194</v>
      </c>
      <c r="E90" s="6"/>
      <c r="F90"/>
      <c r="G90"/>
      <c r="H90"/>
      <c r="I90" s="6"/>
      <c r="J90" s="4"/>
      <c r="K90" s="6"/>
      <c r="L90" s="7"/>
      <c r="M90" s="6"/>
      <c r="N90" s="4"/>
      <c r="O90" s="6"/>
      <c r="P90" s="7"/>
    </row>
    <row r="91" spans="2:16" x14ac:dyDescent="0.2">
      <c r="B91" s="67">
        <v>0.24</v>
      </c>
      <c r="C91" s="24"/>
      <c r="D91" s="25" t="s">
        <v>195</v>
      </c>
      <c r="E91" s="6"/>
      <c r="F91"/>
      <c r="G91"/>
      <c r="H91"/>
      <c r="I91" s="6"/>
      <c r="J91" s="4"/>
      <c r="K91" s="6"/>
      <c r="L91" s="7"/>
      <c r="M91" s="1"/>
      <c r="N91" s="3"/>
      <c r="O91" s="1"/>
      <c r="P91" s="2"/>
    </row>
    <row r="92" spans="2:16" x14ac:dyDescent="0.2">
      <c r="B92" s="23">
        <v>201750</v>
      </c>
      <c r="C92" s="24"/>
      <c r="D92" s="25" t="s">
        <v>196</v>
      </c>
      <c r="E92" s="6"/>
      <c r="F92"/>
      <c r="G92"/>
      <c r="H92"/>
      <c r="I92" s="6"/>
      <c r="J92" s="4"/>
      <c r="K92" s="6"/>
      <c r="L92" s="7"/>
      <c r="M92" s="1"/>
      <c r="N92" s="3"/>
      <c r="O92" s="1"/>
      <c r="P92" s="2"/>
    </row>
    <row r="93" spans="2:16" x14ac:dyDescent="0.2">
      <c r="B93" s="23">
        <v>39207</v>
      </c>
      <c r="C93" s="24"/>
      <c r="D93" s="25" t="s">
        <v>197</v>
      </c>
      <c r="E93" s="6"/>
      <c r="F93"/>
      <c r="G93"/>
      <c r="H93"/>
      <c r="I93" s="6"/>
      <c r="J93" s="4"/>
      <c r="K93" s="6"/>
      <c r="L93" s="7"/>
      <c r="M93" s="1"/>
      <c r="N93" s="3"/>
      <c r="O93" s="1"/>
      <c r="P93" s="2"/>
    </row>
    <row r="94" spans="2:16" x14ac:dyDescent="0.2">
      <c r="B94" s="67">
        <v>0.32</v>
      </c>
      <c r="C94" s="24"/>
      <c r="D94" s="25" t="s">
        <v>198</v>
      </c>
      <c r="E94" s="6"/>
      <c r="F94"/>
      <c r="G94"/>
      <c r="H94"/>
      <c r="I94" s="6"/>
      <c r="J94" s="4"/>
      <c r="K94" s="6"/>
      <c r="L94" s="7"/>
      <c r="M94" s="1"/>
      <c r="N94" s="3"/>
      <c r="O94" s="1"/>
      <c r="P94" s="2"/>
    </row>
    <row r="95" spans="2:16" x14ac:dyDescent="0.2">
      <c r="B95" s="23">
        <v>256200</v>
      </c>
      <c r="C95" s="24"/>
      <c r="D95" s="25" t="s">
        <v>14</v>
      </c>
      <c r="E95" s="6"/>
      <c r="F95"/>
      <c r="G95"/>
      <c r="H95"/>
      <c r="I95" s="1"/>
      <c r="J95" s="3"/>
      <c r="K95" s="1"/>
      <c r="L95" s="2"/>
      <c r="M95" s="1"/>
      <c r="N95" s="3"/>
      <c r="O95" s="1"/>
      <c r="P95" s="2"/>
    </row>
    <row r="96" spans="2:16" x14ac:dyDescent="0.2">
      <c r="B96" s="23">
        <v>56631</v>
      </c>
      <c r="C96" s="24"/>
      <c r="D96" s="25" t="s">
        <v>68</v>
      </c>
      <c r="E96" s="6"/>
      <c r="F96"/>
      <c r="G96"/>
      <c r="H96"/>
      <c r="I96" s="1"/>
      <c r="J96" s="3"/>
      <c r="K96" s="1"/>
      <c r="L96" s="2"/>
      <c r="M96" s="1"/>
      <c r="N96" s="3"/>
      <c r="O96" s="1"/>
      <c r="P96" s="2"/>
    </row>
    <row r="97" spans="2:16" x14ac:dyDescent="0.2">
      <c r="B97" s="67">
        <v>0.35</v>
      </c>
      <c r="C97" s="24"/>
      <c r="D97" s="25" t="s">
        <v>69</v>
      </c>
      <c r="E97" s="6"/>
      <c r="F97"/>
      <c r="G97"/>
      <c r="H97"/>
      <c r="I97" s="1"/>
      <c r="J97" s="3"/>
      <c r="K97" s="1"/>
      <c r="L97" s="2"/>
      <c r="M97" s="1"/>
      <c r="N97" s="3"/>
      <c r="O97" s="1"/>
      <c r="P97" s="2"/>
    </row>
    <row r="98" spans="2:16" x14ac:dyDescent="0.2">
      <c r="B98" s="23">
        <v>640600</v>
      </c>
      <c r="C98" s="24"/>
      <c r="D98" s="25" t="s">
        <v>199</v>
      </c>
      <c r="E98" s="6"/>
      <c r="F98"/>
      <c r="G98"/>
      <c r="H98"/>
      <c r="I98" s="1"/>
      <c r="J98" s="3"/>
      <c r="K98" s="1"/>
      <c r="L98" s="2"/>
      <c r="M98" s="1"/>
      <c r="N98" s="3"/>
      <c r="O98" s="1"/>
      <c r="P98" s="2"/>
    </row>
    <row r="99" spans="2:16" x14ac:dyDescent="0.2">
      <c r="B99" s="23">
        <v>191171</v>
      </c>
      <c r="C99" s="24"/>
      <c r="D99" s="25" t="s">
        <v>200</v>
      </c>
      <c r="E99" s="6"/>
      <c r="F99"/>
      <c r="G99"/>
      <c r="H99"/>
      <c r="I99" s="1"/>
      <c r="J99" s="3"/>
      <c r="K99" s="1"/>
      <c r="L99" s="2"/>
      <c r="M99" s="1"/>
      <c r="N99" s="3"/>
      <c r="O99" s="1"/>
      <c r="P99" s="2"/>
    </row>
    <row r="100" spans="2:16" x14ac:dyDescent="0.2">
      <c r="B100" s="67">
        <v>0.37</v>
      </c>
      <c r="C100" s="24"/>
      <c r="D100" s="25" t="s">
        <v>201</v>
      </c>
      <c r="E100" s="6"/>
      <c r="F100"/>
      <c r="G100"/>
      <c r="H100"/>
      <c r="I100" s="1"/>
      <c r="J100" s="3"/>
      <c r="K100" s="1"/>
      <c r="L100" s="2"/>
      <c r="M100" s="1"/>
      <c r="N100" s="3"/>
      <c r="O100" s="1"/>
      <c r="P100" s="2"/>
    </row>
    <row r="101" spans="2:16" x14ac:dyDescent="0.2">
      <c r="B101" s="67">
        <v>0</v>
      </c>
      <c r="C101" s="15"/>
      <c r="D101" s="25" t="s">
        <v>8</v>
      </c>
      <c r="E101" s="6"/>
      <c r="F101" s="4"/>
      <c r="G101" s="6"/>
      <c r="H101" s="7"/>
      <c r="I101" s="1"/>
      <c r="J101" s="3"/>
      <c r="K101" s="1"/>
      <c r="L101" s="2"/>
      <c r="M101" s="1"/>
      <c r="N101" s="3"/>
      <c r="O101" s="1"/>
      <c r="P101" s="2"/>
    </row>
    <row r="102" spans="2:16" x14ac:dyDescent="0.2">
      <c r="B102" s="23">
        <v>66200</v>
      </c>
      <c r="C102" s="15"/>
      <c r="D102" s="25" t="s">
        <v>205</v>
      </c>
      <c r="E102" s="6"/>
      <c r="F102" s="4"/>
      <c r="G102" s="6"/>
      <c r="H102" s="7"/>
      <c r="I102" s="1"/>
      <c r="J102" s="3"/>
      <c r="K102" s="1"/>
      <c r="L102" s="2"/>
      <c r="M102" s="1"/>
      <c r="N102" s="3"/>
      <c r="O102" s="1"/>
      <c r="P102" s="2"/>
    </row>
    <row r="103" spans="2:16" x14ac:dyDescent="0.2">
      <c r="B103" s="67">
        <v>0.15</v>
      </c>
      <c r="C103" s="15"/>
      <c r="D103" s="25" t="s">
        <v>206</v>
      </c>
      <c r="E103" s="6"/>
      <c r="F103" s="4"/>
      <c r="G103" s="6"/>
      <c r="H103" s="7"/>
      <c r="I103" s="1"/>
      <c r="J103" s="3"/>
      <c r="K103" s="1"/>
      <c r="L103" s="2"/>
      <c r="M103" s="1"/>
      <c r="N103" s="3"/>
      <c r="O103" s="1"/>
      <c r="P103" s="2"/>
    </row>
    <row r="104" spans="2:16" x14ac:dyDescent="0.2">
      <c r="B104" s="23">
        <v>579600</v>
      </c>
      <c r="C104" s="15"/>
      <c r="D104" s="25" t="s">
        <v>207</v>
      </c>
      <c r="E104" s="6"/>
      <c r="F104" s="4"/>
      <c r="G104" s="6"/>
      <c r="H104" s="7"/>
      <c r="I104" s="1"/>
      <c r="J104" s="3"/>
      <c r="K104" s="1"/>
      <c r="L104" s="2"/>
      <c r="M104" s="1"/>
      <c r="N104" s="3"/>
      <c r="O104" s="1"/>
      <c r="P104" s="2"/>
    </row>
    <row r="105" spans="2:16" x14ac:dyDescent="0.2">
      <c r="B105" s="67">
        <v>0.2</v>
      </c>
      <c r="C105" s="15"/>
      <c r="D105" s="25" t="s">
        <v>208</v>
      </c>
      <c r="E105" s="6"/>
      <c r="F105" s="4"/>
      <c r="G105" s="6"/>
      <c r="H105" s="7"/>
      <c r="I105" s="1"/>
      <c r="J105" s="3"/>
      <c r="K105" s="1"/>
      <c r="L105" s="2"/>
      <c r="M105" s="1"/>
      <c r="N105" s="3"/>
      <c r="O105" s="1"/>
      <c r="P105" s="2"/>
    </row>
    <row r="106" spans="2:16" x14ac:dyDescent="0.2">
      <c r="B106" s="67">
        <v>0.15</v>
      </c>
      <c r="C106" s="24"/>
      <c r="D106" s="25" t="s">
        <v>209</v>
      </c>
      <c r="E106" s="1"/>
      <c r="F106" s="3"/>
      <c r="G106" s="1"/>
      <c r="H106" s="2"/>
      <c r="I106" s="1"/>
      <c r="J106" s="3"/>
      <c r="K106" s="1"/>
      <c r="L106" s="2"/>
      <c r="M106" s="1"/>
      <c r="N106" s="3"/>
      <c r="O106" s="1"/>
      <c r="P106" s="2"/>
    </row>
    <row r="107" spans="2:16" x14ac:dyDescent="0.2">
      <c r="B107" s="67">
        <v>0.15</v>
      </c>
      <c r="C107" s="24"/>
      <c r="D107" s="25" t="s">
        <v>210</v>
      </c>
      <c r="E107" s="1"/>
      <c r="F107" s="3"/>
      <c r="G107" s="1"/>
      <c r="H107" s="2"/>
    </row>
    <row r="108" spans="2:16" x14ac:dyDescent="0.2">
      <c r="B108" s="67">
        <v>0.2</v>
      </c>
      <c r="C108" s="24"/>
      <c r="D108" s="25" t="s">
        <v>211</v>
      </c>
      <c r="E108" s="1"/>
      <c r="F108" s="3"/>
      <c r="G108" s="1"/>
      <c r="H108" s="2"/>
    </row>
    <row r="109" spans="2:16" x14ac:dyDescent="0.2">
      <c r="B109" s="23">
        <v>425000</v>
      </c>
      <c r="C109" s="24"/>
      <c r="D109" s="25" t="s">
        <v>212</v>
      </c>
      <c r="E109" s="1"/>
      <c r="F109" s="3"/>
      <c r="G109" s="1"/>
      <c r="H109" s="2"/>
    </row>
    <row r="110" spans="2:16" x14ac:dyDescent="0.2">
      <c r="B110" s="67">
        <v>3.7999999999999999E-2</v>
      </c>
      <c r="C110" s="14"/>
      <c r="D110" s="25" t="s">
        <v>179</v>
      </c>
      <c r="E110" s="1"/>
      <c r="F110" s="3"/>
      <c r="G110" s="1"/>
      <c r="H110" s="2"/>
    </row>
    <row r="111" spans="2:16" x14ac:dyDescent="0.2">
      <c r="B111" s="23">
        <v>200000</v>
      </c>
      <c r="C111" s="24"/>
      <c r="D111" s="25" t="s">
        <v>84</v>
      </c>
      <c r="E111" s="1"/>
      <c r="F111" s="3"/>
      <c r="G111" s="1"/>
      <c r="H111" s="2"/>
    </row>
    <row r="112" spans="2:16" x14ac:dyDescent="0.2">
      <c r="B112" s="23">
        <v>24150</v>
      </c>
      <c r="C112" s="24"/>
      <c r="D112" s="25" t="s">
        <v>130</v>
      </c>
      <c r="E112" s="1"/>
      <c r="F112" s="3"/>
      <c r="G112" s="1"/>
      <c r="H112" s="2"/>
    </row>
    <row r="113" spans="2:8" x14ac:dyDescent="0.2">
      <c r="B113" s="23">
        <v>2050</v>
      </c>
      <c r="C113" s="24"/>
      <c r="D113" s="25" t="s">
        <v>154</v>
      </c>
      <c r="E113" s="1"/>
      <c r="F113" s="3"/>
      <c r="G113" s="1"/>
      <c r="H113" s="2"/>
    </row>
    <row r="114" spans="2:8" x14ac:dyDescent="0.2">
      <c r="B114" s="23">
        <f>0*4050</f>
        <v>0</v>
      </c>
      <c r="C114" s="24"/>
      <c r="D114" s="25" t="s">
        <v>131</v>
      </c>
      <c r="E114" s="1"/>
      <c r="F114" s="3"/>
      <c r="G114" s="1"/>
      <c r="H114" s="2"/>
    </row>
    <row r="115" spans="2:8" x14ac:dyDescent="0.2">
      <c r="B115" s="23">
        <v>2500</v>
      </c>
      <c r="C115" s="24"/>
      <c r="D115" s="25" t="s">
        <v>132</v>
      </c>
      <c r="E115" s="1"/>
      <c r="F115" s="3"/>
      <c r="G115" s="1"/>
      <c r="H115" s="2"/>
    </row>
    <row r="116" spans="2:8" x14ac:dyDescent="0.2">
      <c r="B116" s="23">
        <v>293350</v>
      </c>
      <c r="C116" s="24"/>
      <c r="D116" s="25" t="s">
        <v>10</v>
      </c>
      <c r="E116" s="1"/>
      <c r="F116" s="3"/>
      <c r="G116" s="1"/>
      <c r="H116" s="2"/>
    </row>
    <row r="117" spans="2:8" x14ac:dyDescent="0.2">
      <c r="B117" s="67">
        <f>2%</f>
        <v>0.02</v>
      </c>
      <c r="C117" s="24"/>
      <c r="D117" s="25" t="s">
        <v>11</v>
      </c>
      <c r="E117" s="1"/>
      <c r="F117" s="3"/>
      <c r="G117" s="1"/>
      <c r="H117" s="2"/>
    </row>
    <row r="118" spans="2:8" x14ac:dyDescent="0.2">
      <c r="B118" s="23">
        <v>2200</v>
      </c>
      <c r="C118" s="24"/>
      <c r="D118" s="25" t="s">
        <v>107</v>
      </c>
    </row>
    <row r="119" spans="2:8" x14ac:dyDescent="0.2">
      <c r="B119" s="23">
        <v>200000</v>
      </c>
      <c r="C119" s="24"/>
      <c r="D119" s="25" t="s">
        <v>108</v>
      </c>
    </row>
    <row r="120" spans="2:8" x14ac:dyDescent="0.2">
      <c r="B120" s="23">
        <v>1000</v>
      </c>
      <c r="C120" s="24"/>
      <c r="D120" s="25" t="s">
        <v>109</v>
      </c>
    </row>
    <row r="121" spans="2:8" x14ac:dyDescent="0.2">
      <c r="B121" s="67">
        <v>0.05</v>
      </c>
      <c r="C121" s="24"/>
      <c r="D121" s="25" t="s">
        <v>110</v>
      </c>
    </row>
    <row r="122" spans="2:8" x14ac:dyDescent="0.2">
      <c r="B122" s="23">
        <v>293350</v>
      </c>
      <c r="C122" s="14"/>
      <c r="D122" s="25" t="s">
        <v>178</v>
      </c>
    </row>
    <row r="123" spans="2:8" x14ac:dyDescent="0.2">
      <c r="B123" s="67">
        <f>0*3%</f>
        <v>0</v>
      </c>
      <c r="C123" s="24"/>
      <c r="D123" s="25" t="s">
        <v>12</v>
      </c>
    </row>
    <row r="124" spans="2:8" x14ac:dyDescent="0.2">
      <c r="B124" s="67">
        <f>80%</f>
        <v>0.8</v>
      </c>
      <c r="C124" s="24"/>
      <c r="D124" s="25" t="s">
        <v>12</v>
      </c>
    </row>
    <row r="125" spans="2:8" x14ac:dyDescent="0.2">
      <c r="B125" s="23">
        <f>1000*0</f>
        <v>0</v>
      </c>
      <c r="C125" s="24"/>
      <c r="D125" s="25" t="s">
        <v>239</v>
      </c>
    </row>
    <row r="126" spans="2:8" x14ac:dyDescent="0.2">
      <c r="B126" s="67">
        <v>2.9000000000000001E-2</v>
      </c>
      <c r="C126" s="24"/>
      <c r="D126" s="25" t="s">
        <v>13</v>
      </c>
    </row>
    <row r="127" spans="2:8" x14ac:dyDescent="0.2">
      <c r="B127" s="67">
        <v>0.92349999999999999</v>
      </c>
      <c r="C127" s="24"/>
      <c r="D127" s="25" t="s">
        <v>18</v>
      </c>
    </row>
    <row r="128" spans="2:8" x14ac:dyDescent="0.2">
      <c r="B128" s="23">
        <v>0</v>
      </c>
      <c r="C128" s="24"/>
      <c r="D128" s="25" t="s">
        <v>19</v>
      </c>
    </row>
    <row r="129" spans="2:4" x14ac:dyDescent="0.2">
      <c r="B129" s="67">
        <f>B126/2</f>
        <v>1.4500000000000001E-2</v>
      </c>
      <c r="C129" s="14"/>
      <c r="D129" s="25" t="s">
        <v>57</v>
      </c>
    </row>
    <row r="130" spans="2:4" x14ac:dyDescent="0.2">
      <c r="B130" s="67">
        <v>8.9999999999999993E-3</v>
      </c>
      <c r="C130" s="14"/>
      <c r="D130" s="25" t="s">
        <v>85</v>
      </c>
    </row>
    <row r="131" spans="2:4" x14ac:dyDescent="0.2">
      <c r="B131" s="67">
        <v>0.124</v>
      </c>
      <c r="C131" s="24"/>
      <c r="D131" s="25" t="s">
        <v>134</v>
      </c>
    </row>
    <row r="132" spans="2:4" x14ac:dyDescent="0.2">
      <c r="B132" s="23">
        <f>B133*B131</f>
        <v>22878</v>
      </c>
      <c r="C132" s="24"/>
      <c r="D132" s="25" t="s">
        <v>20</v>
      </c>
    </row>
    <row r="133" spans="2:4" x14ac:dyDescent="0.2">
      <c r="B133" s="23">
        <v>184500</v>
      </c>
      <c r="C133" s="24"/>
      <c r="D133" s="25" t="s">
        <v>21</v>
      </c>
    </row>
    <row r="134" spans="2:4" x14ac:dyDescent="0.2">
      <c r="B134" s="23">
        <v>400</v>
      </c>
      <c r="C134" s="24"/>
      <c r="D134" s="25" t="s">
        <v>22</v>
      </c>
    </row>
    <row r="135" spans="2:4" x14ac:dyDescent="0.2">
      <c r="B135" s="67">
        <f>B131/2</f>
        <v>6.2E-2</v>
      </c>
      <c r="C135" s="14"/>
      <c r="D135" s="25" t="s">
        <v>133</v>
      </c>
    </row>
    <row r="136" spans="2:4" x14ac:dyDescent="0.2">
      <c r="B136" s="67">
        <v>1</v>
      </c>
      <c r="C136" s="24"/>
      <c r="D136" s="25" t="s">
        <v>23</v>
      </c>
    </row>
    <row r="137" spans="2:4" x14ac:dyDescent="0.2">
      <c r="B137" s="23">
        <v>3000</v>
      </c>
      <c r="C137" s="24"/>
      <c r="D137" s="25" t="s">
        <v>5</v>
      </c>
    </row>
    <row r="138" spans="2:4" x14ac:dyDescent="0.2">
      <c r="B138" s="67">
        <v>7.4999999999999997E-2</v>
      </c>
      <c r="C138" s="14"/>
      <c r="D138" s="25" t="s">
        <v>150</v>
      </c>
    </row>
    <row r="139" spans="2:4" x14ac:dyDescent="0.2">
      <c r="B139" s="67">
        <v>7.4999999999999997E-2</v>
      </c>
      <c r="C139" s="14"/>
      <c r="D139" s="25" t="s">
        <v>180</v>
      </c>
    </row>
    <row r="140" spans="2:4" x14ac:dyDescent="0.2">
      <c r="B140" s="23">
        <v>6000</v>
      </c>
      <c r="D140" s="25" t="s">
        <v>243</v>
      </c>
    </row>
    <row r="141" spans="2:4" x14ac:dyDescent="0.2">
      <c r="B141" s="67">
        <v>0.06</v>
      </c>
      <c r="D141" s="25" t="s">
        <v>244</v>
      </c>
    </row>
    <row r="142" spans="2:4" x14ac:dyDescent="0.2">
      <c r="B142" s="23">
        <v>75000</v>
      </c>
      <c r="D142" s="25" t="s">
        <v>245</v>
      </c>
    </row>
    <row r="143" spans="2:4" x14ac:dyDescent="0.2">
      <c r="B143" s="67">
        <v>0.02</v>
      </c>
      <c r="C143" s="14"/>
      <c r="D143" s="25" t="s">
        <v>151</v>
      </c>
    </row>
    <row r="144" spans="2:4" x14ac:dyDescent="0.2">
      <c r="B144" s="67">
        <v>0.6</v>
      </c>
      <c r="C144" s="14"/>
      <c r="D144" s="25" t="s">
        <v>163</v>
      </c>
    </row>
    <row r="145" spans="2:4" x14ac:dyDescent="0.2">
      <c r="B145" s="67">
        <v>5.0000000000000001E-3</v>
      </c>
      <c r="C145"/>
      <c r="D145" s="25" t="s">
        <v>254</v>
      </c>
    </row>
    <row r="146" spans="2:4" x14ac:dyDescent="0.2">
      <c r="B146" s="97">
        <f>2/37</f>
        <v>5.4054054054054057E-2</v>
      </c>
      <c r="C146"/>
      <c r="D146" s="25" t="s">
        <v>256</v>
      </c>
    </row>
    <row r="147" spans="2:4" x14ac:dyDescent="0.2">
      <c r="B147" s="23">
        <v>1000</v>
      </c>
      <c r="D147" s="25" t="s">
        <v>255</v>
      </c>
    </row>
    <row r="148" spans="2:4" x14ac:dyDescent="0.2">
      <c r="B148" s="23">
        <v>40400</v>
      </c>
      <c r="C148" s="15"/>
      <c r="D148" s="25" t="s">
        <v>202</v>
      </c>
    </row>
    <row r="149" spans="2:4" x14ac:dyDescent="0.2">
      <c r="B149" s="23">
        <v>10000</v>
      </c>
      <c r="C149" s="15"/>
      <c r="D149" s="25" t="s">
        <v>248</v>
      </c>
    </row>
    <row r="150" spans="2:4" x14ac:dyDescent="0.2">
      <c r="B150" s="67">
        <v>0.3</v>
      </c>
      <c r="C150" s="14"/>
      <c r="D150" s="25" t="s">
        <v>247</v>
      </c>
    </row>
    <row r="151" spans="2:4" x14ac:dyDescent="0.2">
      <c r="B151" s="23">
        <v>505000</v>
      </c>
      <c r="C151" s="15"/>
      <c r="D151" s="25" t="s">
        <v>246</v>
      </c>
    </row>
    <row r="152" spans="2:4" x14ac:dyDescent="0.2">
      <c r="B152" s="23">
        <v>90100</v>
      </c>
      <c r="C152" s="14"/>
      <c r="D152" s="25" t="s">
        <v>61</v>
      </c>
    </row>
    <row r="153" spans="2:4" x14ac:dyDescent="0.2">
      <c r="B153" s="23">
        <v>500000</v>
      </c>
      <c r="C153" s="14"/>
      <c r="D153" s="25" t="s">
        <v>153</v>
      </c>
    </row>
    <row r="154" spans="2:4" x14ac:dyDescent="0.2">
      <c r="B154" s="67">
        <v>0.25</v>
      </c>
      <c r="C154" s="14"/>
      <c r="D154" s="25" t="s">
        <v>169</v>
      </c>
    </row>
    <row r="155" spans="2:4" x14ac:dyDescent="0.2">
      <c r="B155" s="67">
        <v>0.26</v>
      </c>
      <c r="C155" s="14"/>
      <c r="D155" s="25" t="s">
        <v>65</v>
      </c>
    </row>
    <row r="156" spans="2:4" x14ac:dyDescent="0.2">
      <c r="B156" s="67">
        <v>0.28000000000000003</v>
      </c>
      <c r="C156" s="14"/>
      <c r="D156" s="25" t="s">
        <v>64</v>
      </c>
    </row>
    <row r="157" spans="2:4" x14ac:dyDescent="0.2">
      <c r="B157" s="23">
        <v>244500</v>
      </c>
      <c r="C157" s="14"/>
      <c r="D157" s="25" t="s">
        <v>66</v>
      </c>
    </row>
    <row r="158" spans="2:4" x14ac:dyDescent="0.2">
      <c r="B158" s="23">
        <f>B157*(B156-B155)</f>
        <v>4890.0000000000045</v>
      </c>
      <c r="C158" s="14"/>
      <c r="D158" s="25" t="s">
        <v>67</v>
      </c>
    </row>
    <row r="159" spans="2:4" x14ac:dyDescent="0.2">
      <c r="B159" s="67">
        <v>2.5000000000000001E-2</v>
      </c>
      <c r="C159" s="14"/>
      <c r="D159" s="25" t="s">
        <v>167</v>
      </c>
    </row>
    <row r="160" spans="2:4" x14ac:dyDescent="0.2">
      <c r="B160" s="23">
        <v>0</v>
      </c>
      <c r="C160" s="14"/>
      <c r="D160" s="25" t="s">
        <v>155</v>
      </c>
    </row>
    <row r="161" spans="2:4" x14ac:dyDescent="0.2">
      <c r="B161" s="23">
        <v>201750</v>
      </c>
      <c r="C161" s="24"/>
      <c r="D161" s="90" t="s">
        <v>230</v>
      </c>
    </row>
    <row r="162" spans="2:4" x14ac:dyDescent="0.2">
      <c r="B162" s="23">
        <v>75000</v>
      </c>
      <c r="C162" s="24"/>
      <c r="D162" s="90" t="s">
        <v>231</v>
      </c>
    </row>
    <row r="163" spans="2:4" x14ac:dyDescent="0.2">
      <c r="B163" s="67">
        <v>0.2</v>
      </c>
      <c r="C163" s="24"/>
      <c r="D163" s="90" t="s">
        <v>232</v>
      </c>
    </row>
    <row r="164" spans="2:4" x14ac:dyDescent="0.2">
      <c r="B164" s="67">
        <v>1</v>
      </c>
      <c r="C164" s="9"/>
      <c r="D164" s="25" t="s">
        <v>233</v>
      </c>
    </row>
    <row r="165" spans="2:4" x14ac:dyDescent="0.2">
      <c r="B165" s="23">
        <v>1000</v>
      </c>
      <c r="C165"/>
      <c r="D165" s="25" t="s">
        <v>257</v>
      </c>
    </row>
    <row r="166" spans="2:4" ht="13.5" thickBot="1" x14ac:dyDescent="0.25">
      <c r="B166" s="73">
        <v>400</v>
      </c>
      <c r="C166" s="98"/>
      <c r="D166" s="32" t="s">
        <v>258</v>
      </c>
    </row>
    <row r="168" spans="2:4" ht="13.5" thickBot="1" x14ac:dyDescent="0.25">
      <c r="B168" s="78" t="s">
        <v>182</v>
      </c>
      <c r="C168" s="15"/>
    </row>
    <row r="169" spans="2:4" x14ac:dyDescent="0.2">
      <c r="B169" s="84">
        <v>0</v>
      </c>
      <c r="C169" s="85">
        <f>B82</f>
        <v>0.1</v>
      </c>
    </row>
    <row r="170" spans="2:4" x14ac:dyDescent="0.2">
      <c r="B170" s="23">
        <f>B83</f>
        <v>17700</v>
      </c>
      <c r="C170" s="86">
        <f>B85</f>
        <v>0.12</v>
      </c>
    </row>
    <row r="171" spans="2:4" x14ac:dyDescent="0.2">
      <c r="B171" s="23">
        <f>B86</f>
        <v>67450</v>
      </c>
      <c r="C171" s="86">
        <f>B88</f>
        <v>0.22</v>
      </c>
    </row>
    <row r="172" spans="2:4" x14ac:dyDescent="0.2">
      <c r="B172" s="23">
        <f>B89</f>
        <v>105700</v>
      </c>
      <c r="C172" s="86">
        <f>B91</f>
        <v>0.24</v>
      </c>
    </row>
    <row r="173" spans="2:4" x14ac:dyDescent="0.2">
      <c r="B173" s="23">
        <f>B92</f>
        <v>201750</v>
      </c>
      <c r="C173" s="86">
        <f>B94</f>
        <v>0.32</v>
      </c>
    </row>
    <row r="174" spans="2:4" x14ac:dyDescent="0.2">
      <c r="B174" s="23">
        <f>B95</f>
        <v>256200</v>
      </c>
      <c r="C174" s="86">
        <f>B97</f>
        <v>0.35</v>
      </c>
    </row>
    <row r="175" spans="2:4" ht="13.5" thickBot="1" x14ac:dyDescent="0.25">
      <c r="B175" s="73">
        <f>B98</f>
        <v>640600</v>
      </c>
      <c r="C175" s="87">
        <f>B100</f>
        <v>0.37</v>
      </c>
    </row>
  </sheetData>
  <sheetProtection algorithmName="SHA-512" hashValue="0EHMRsAPhflZmVNACj2MdLnduMs1+ag2u2Zrj2ZJtl0ijlzbm0ixQIsgteSrSFDYVAxYSnjatMA/XBNIo/ro5w==" saltValue="BGGXKTlUe1CfzXVnlNQtnA==" spinCount="100000" sheet="1"/>
  <phoneticPr fontId="0" type="noConversion"/>
  <pageMargins left="0.75" right="0.75" top="1" bottom="1" header="0.5" footer="0.5"/>
  <pageSetup orientation="portrait" blackAndWhite="1" horizontalDpi="360" verticalDpi="360"/>
  <headerFooter alignWithMargins="0">
    <oddHeader>Federal Tax Planner</oddHeader>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2026-Single</vt:lpstr>
      <vt:lpstr>2026-Joint</vt:lpstr>
      <vt:lpstr>2026-Separate</vt:lpstr>
      <vt:lpstr>2026-Head</vt:lpstr>
    </vt:vector>
  </TitlesOfParts>
  <Company>Geoff Mendal Software Consulting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Federal Tax Planner</dc:title>
  <dc:subject>tax planning and analysis</dc:subject>
  <dc:creator>Geoff Mendal</dc:creator>
  <cp:keywords>taxes, tax planning, tax analysis</cp:keywords>
  <dc:description>http://www.taxvisor.com/taxes</dc:description>
  <cp:lastModifiedBy>Geoff Mendal</cp:lastModifiedBy>
  <dcterms:created xsi:type="dcterms:W3CDTF">1997-03-14T15:57:40Z</dcterms:created>
  <dcterms:modified xsi:type="dcterms:W3CDTF">2025-11-16T09:40:20Z</dcterms:modified>
</cp:coreProperties>
</file>